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160"/>
  </bookViews>
  <sheets>
    <sheet name="Orçamento" sheetId="1" r:id="rId1"/>
    <sheet name="Composição" sheetId="4" r:id="rId2"/>
    <sheet name="Cálculos" sheetId="3" r:id="rId3"/>
    <sheet name="Quantitativos elétricos" sheetId="5" r:id="rId4"/>
  </sheets>
  <definedNames>
    <definedName name="_xlnm.Print_Area" localSheetId="1">Composição!$A$1:$G$167</definedName>
    <definedName name="_xlnm.Print_Titles" localSheetId="0">Orçamento!$1:$8</definedName>
  </definedNames>
  <calcPr calcId="124519"/>
</workbook>
</file>

<file path=xl/calcChain.xml><?xml version="1.0" encoding="utf-8"?>
<calcChain xmlns="http://schemas.openxmlformats.org/spreadsheetml/2006/main">
  <c r="L73" i="1"/>
  <c r="K73"/>
  <c r="J73"/>
  <c r="G11"/>
  <c r="F18" i="4"/>
  <c r="F17"/>
  <c r="H76" i="1"/>
  <c r="G76"/>
  <c r="H49"/>
  <c r="G48"/>
  <c r="H44"/>
  <c r="H39"/>
  <c r="G39"/>
  <c r="H37"/>
  <c r="H36"/>
  <c r="H35"/>
  <c r="G35"/>
  <c r="H33"/>
  <c r="G33"/>
  <c r="G32"/>
  <c r="G31"/>
  <c r="G27"/>
  <c r="G24"/>
  <c r="H13"/>
  <c r="G13"/>
  <c r="G49"/>
  <c r="C129" i="4"/>
  <c r="C54"/>
  <c r="C44"/>
  <c r="G62" i="1"/>
  <c r="G57"/>
  <c r="G55"/>
  <c r="G43"/>
  <c r="G37"/>
  <c r="J87" i="3" l="1"/>
  <c r="K96"/>
  <c r="B38"/>
  <c r="C4"/>
  <c r="G163" i="4"/>
  <c r="G164"/>
  <c r="G165"/>
  <c r="G166"/>
  <c r="G162"/>
  <c r="G151"/>
  <c r="G152"/>
  <c r="G153"/>
  <c r="G154"/>
  <c r="G150"/>
  <c r="G139"/>
  <c r="G140"/>
  <c r="G141"/>
  <c r="G142"/>
  <c r="G138"/>
  <c r="G130"/>
  <c r="G129"/>
  <c r="G118"/>
  <c r="G119"/>
  <c r="G120"/>
  <c r="G121"/>
  <c r="G117"/>
  <c r="G108"/>
  <c r="G109"/>
  <c r="G107"/>
  <c r="G97"/>
  <c r="G98"/>
  <c r="G99"/>
  <c r="G96"/>
  <c r="G84"/>
  <c r="G85"/>
  <c r="G86"/>
  <c r="G87"/>
  <c r="G88"/>
  <c r="G75"/>
  <c r="G74"/>
  <c r="G65"/>
  <c r="G66"/>
  <c r="G64"/>
  <c r="G55"/>
  <c r="G56"/>
  <c r="G54"/>
  <c r="G45"/>
  <c r="G46"/>
  <c r="G44"/>
  <c r="G36"/>
  <c r="G35"/>
  <c r="G27"/>
  <c r="G26"/>
  <c r="I18"/>
  <c r="I17"/>
  <c r="G17"/>
  <c r="G12"/>
  <c r="G13"/>
  <c r="G14"/>
  <c r="G15"/>
  <c r="G16"/>
  <c r="G11"/>
  <c r="E130"/>
  <c r="N14" i="3"/>
  <c r="S14"/>
  <c r="J82"/>
  <c r="K80"/>
  <c r="K78"/>
  <c r="J78"/>
  <c r="B70"/>
  <c r="F67"/>
  <c r="S16"/>
  <c r="C3"/>
  <c r="C2"/>
  <c r="K48" i="1"/>
  <c r="N48" s="1"/>
  <c r="I48"/>
  <c r="J48"/>
  <c r="M48" s="1"/>
  <c r="F6" i="4" l="1"/>
  <c r="F7"/>
  <c r="F157"/>
  <c r="G47" i="1" s="1"/>
  <c r="J47" s="1"/>
  <c r="F158" i="4"/>
  <c r="H47" i="1" s="1"/>
  <c r="K47" s="1"/>
  <c r="O48"/>
  <c r="L48"/>
  <c r="G167" i="4"/>
  <c r="M73" i="1"/>
  <c r="N73"/>
  <c r="J74"/>
  <c r="M74" s="1"/>
  <c r="K74"/>
  <c r="N74" s="1"/>
  <c r="J75"/>
  <c r="K75"/>
  <c r="J76"/>
  <c r="K76"/>
  <c r="J66"/>
  <c r="M66" s="1"/>
  <c r="K66"/>
  <c r="N66" s="1"/>
  <c r="J50"/>
  <c r="M50" s="1"/>
  <c r="K50"/>
  <c r="N50" s="1"/>
  <c r="J51"/>
  <c r="M51" s="1"/>
  <c r="K51"/>
  <c r="N51" s="1"/>
  <c r="J54"/>
  <c r="M54" s="1"/>
  <c r="K54"/>
  <c r="N54" s="1"/>
  <c r="K55"/>
  <c r="N55" s="1"/>
  <c r="J57"/>
  <c r="M57" s="1"/>
  <c r="K57"/>
  <c r="N57" s="1"/>
  <c r="J58"/>
  <c r="M58" s="1"/>
  <c r="K58"/>
  <c r="N58" s="1"/>
  <c r="J59"/>
  <c r="M59" s="1"/>
  <c r="K59"/>
  <c r="N59" s="1"/>
  <c r="K62"/>
  <c r="N62" s="1"/>
  <c r="K49"/>
  <c r="N49" s="1"/>
  <c r="J49"/>
  <c r="M49" s="1"/>
  <c r="J44"/>
  <c r="K44"/>
  <c r="J45"/>
  <c r="K45"/>
  <c r="J46"/>
  <c r="M46" s="1"/>
  <c r="K46"/>
  <c r="N46" s="1"/>
  <c r="K43"/>
  <c r="J18"/>
  <c r="M18" s="1"/>
  <c r="K18"/>
  <c r="N18" s="1"/>
  <c r="J19"/>
  <c r="M19" s="1"/>
  <c r="K19"/>
  <c r="N19" s="1"/>
  <c r="J20"/>
  <c r="M20" s="1"/>
  <c r="K20"/>
  <c r="N20" s="1"/>
  <c r="J21"/>
  <c r="M21" s="1"/>
  <c r="K21"/>
  <c r="N21" s="1"/>
  <c r="J22"/>
  <c r="M22" s="1"/>
  <c r="K22"/>
  <c r="N22" s="1"/>
  <c r="J23"/>
  <c r="M23" s="1"/>
  <c r="K23"/>
  <c r="N23" s="1"/>
  <c r="K24"/>
  <c r="N24" s="1"/>
  <c r="J25"/>
  <c r="M25" s="1"/>
  <c r="K25"/>
  <c r="N25" s="1"/>
  <c r="J26"/>
  <c r="M26" s="1"/>
  <c r="K26"/>
  <c r="N26" s="1"/>
  <c r="K27"/>
  <c r="N27" s="1"/>
  <c r="J28"/>
  <c r="M28" s="1"/>
  <c r="K28"/>
  <c r="N28" s="1"/>
  <c r="J29"/>
  <c r="M29" s="1"/>
  <c r="K29"/>
  <c r="N29" s="1"/>
  <c r="K31"/>
  <c r="N31" s="1"/>
  <c r="K32"/>
  <c r="N32" s="1"/>
  <c r="J34"/>
  <c r="M34" s="1"/>
  <c r="K34"/>
  <c r="N34" s="1"/>
  <c r="J35"/>
  <c r="M35" s="1"/>
  <c r="K35"/>
  <c r="N35" s="1"/>
  <c r="J36"/>
  <c r="M36" s="1"/>
  <c r="J38"/>
  <c r="M38" s="1"/>
  <c r="K38"/>
  <c r="N38" s="1"/>
  <c r="J40"/>
  <c r="M40" s="1"/>
  <c r="K40"/>
  <c r="N40" s="1"/>
  <c r="J41"/>
  <c r="M41" s="1"/>
  <c r="K41"/>
  <c r="N41" s="1"/>
  <c r="K17"/>
  <c r="N17" s="1"/>
  <c r="J17"/>
  <c r="M17" s="1"/>
  <c r="K14"/>
  <c r="N14" s="1"/>
  <c r="K15"/>
  <c r="N15" s="1"/>
  <c r="J14"/>
  <c r="M14" s="1"/>
  <c r="J15"/>
  <c r="M15" s="1"/>
  <c r="J13"/>
  <c r="M13" s="1"/>
  <c r="B173" i="3"/>
  <c r="F45" i="1"/>
  <c r="F44"/>
  <c r="F43"/>
  <c r="N44" l="1"/>
  <c r="N43"/>
  <c r="G157" i="4"/>
  <c r="N45" i="1"/>
  <c r="M44"/>
  <c r="M45"/>
  <c r="F47"/>
  <c r="I46"/>
  <c r="L45"/>
  <c r="I45"/>
  <c r="J43"/>
  <c r="M43" s="1"/>
  <c r="G155" i="4" l="1"/>
  <c r="G143"/>
  <c r="F133"/>
  <c r="G60" i="1" s="1"/>
  <c r="J60" s="1"/>
  <c r="M60" s="1"/>
  <c r="F146" i="4"/>
  <c r="H61" i="1" s="1"/>
  <c r="K61" s="1"/>
  <c r="N61" s="1"/>
  <c r="N47"/>
  <c r="M47"/>
  <c r="I47"/>
  <c r="I44"/>
  <c r="I43"/>
  <c r="L46"/>
  <c r="O45"/>
  <c r="L47"/>
  <c r="O46"/>
  <c r="L43"/>
  <c r="O43"/>
  <c r="F134" i="4"/>
  <c r="F145"/>
  <c r="G133" l="1"/>
  <c r="H60" i="1"/>
  <c r="K60" s="1"/>
  <c r="N60" s="1"/>
  <c r="G145" i="4"/>
  <c r="G61" i="1"/>
  <c r="J61" s="1"/>
  <c r="M61" s="1"/>
  <c r="O47"/>
  <c r="O44"/>
  <c r="L44"/>
  <c r="J62"/>
  <c r="M62" s="1"/>
  <c r="L59"/>
  <c r="I59"/>
  <c r="I62" l="1"/>
  <c r="I61"/>
  <c r="O61"/>
  <c r="L60"/>
  <c r="O60"/>
  <c r="O59"/>
  <c r="I60"/>
  <c r="L61" l="1"/>
  <c r="O62"/>
  <c r="L62"/>
  <c r="N84" i="3" l="1"/>
  <c r="N83"/>
  <c r="N82"/>
  <c r="F125" i="4"/>
  <c r="F124"/>
  <c r="G72" i="1" s="1"/>
  <c r="J72" s="1"/>
  <c r="M72" s="1"/>
  <c r="J80" i="3"/>
  <c r="I74" i="1"/>
  <c r="H72" l="1"/>
  <c r="L74"/>
  <c r="O74"/>
  <c r="G131" i="4"/>
  <c r="G83"/>
  <c r="F78" s="1"/>
  <c r="G124" l="1"/>
  <c r="I72" i="1"/>
  <c r="K72"/>
  <c r="N72" s="1"/>
  <c r="F79" i="4"/>
  <c r="G78" s="1"/>
  <c r="L49" i="1"/>
  <c r="L28"/>
  <c r="L75"/>
  <c r="L21"/>
  <c r="L25"/>
  <c r="L18"/>
  <c r="L76"/>
  <c r="L38"/>
  <c r="G89" i="4"/>
  <c r="L29" i="1"/>
  <c r="L22"/>
  <c r="L58"/>
  <c r="L34"/>
  <c r="L50"/>
  <c r="L41"/>
  <c r="L26"/>
  <c r="L54"/>
  <c r="L23"/>
  <c r="L20"/>
  <c r="L15"/>
  <c r="L66"/>
  <c r="L51"/>
  <c r="L40"/>
  <c r="L17"/>
  <c r="L14"/>
  <c r="L35"/>
  <c r="L19"/>
  <c r="E62" i="3"/>
  <c r="E61"/>
  <c r="E60"/>
  <c r="E59"/>
  <c r="E58"/>
  <c r="E57"/>
  <c r="F56" i="1"/>
  <c r="D15" i="5"/>
  <c r="I29" i="1"/>
  <c r="I28"/>
  <c r="O28"/>
  <c r="K48" i="3"/>
  <c r="K47"/>
  <c r="D190"/>
  <c r="D188"/>
  <c r="I182"/>
  <c r="B190"/>
  <c r="I180"/>
  <c r="F183"/>
  <c r="B184"/>
  <c r="B111"/>
  <c r="O72" i="1" l="1"/>
  <c r="L72"/>
  <c r="F113" i="4"/>
  <c r="H56" i="1" s="1"/>
  <c r="K56" s="1"/>
  <c r="N56" s="1"/>
  <c r="F112" i="4"/>
  <c r="G56" i="1" s="1"/>
  <c r="J56" s="1"/>
  <c r="M56" s="1"/>
  <c r="O29"/>
  <c r="G122" i="4"/>
  <c r="B188" i="3"/>
  <c r="I54" i="1"/>
  <c r="O54"/>
  <c r="O21" i="3"/>
  <c r="F102" i="4"/>
  <c r="G53" i="1" s="1"/>
  <c r="J53" s="1"/>
  <c r="M53" s="1"/>
  <c r="I14"/>
  <c r="O14"/>
  <c r="I18" i="3"/>
  <c r="L56" i="1" l="1"/>
  <c r="I56"/>
  <c r="G112" i="4"/>
  <c r="G100"/>
  <c r="F91"/>
  <c r="G52" i="1" s="1"/>
  <c r="J52" s="1"/>
  <c r="M52" s="1"/>
  <c r="F92" i="4"/>
  <c r="H52" i="1" s="1"/>
  <c r="K52" s="1"/>
  <c r="N52" s="1"/>
  <c r="F103" i="4"/>
  <c r="H53" i="1" s="1"/>
  <c r="K53" s="1"/>
  <c r="N53" s="1"/>
  <c r="G110" i="4"/>
  <c r="K19" i="3"/>
  <c r="D129"/>
  <c r="B128"/>
  <c r="B140"/>
  <c r="H103"/>
  <c r="E108"/>
  <c r="B151"/>
  <c r="B166"/>
  <c r="B170"/>
  <c r="D170" s="1"/>
  <c r="B134"/>
  <c r="D163"/>
  <c r="E148"/>
  <c r="E146"/>
  <c r="E145"/>
  <c r="B120"/>
  <c r="B108"/>
  <c r="B109" s="1"/>
  <c r="O56" i="1" l="1"/>
  <c r="L53"/>
  <c r="O53"/>
  <c r="I52"/>
  <c r="G91" i="4"/>
  <c r="I53" i="1"/>
  <c r="G102" i="4"/>
  <c r="I21" i="1"/>
  <c r="B81" i="3"/>
  <c r="E90"/>
  <c r="G90" s="1"/>
  <c r="D90"/>
  <c r="E88"/>
  <c r="D88"/>
  <c r="E84"/>
  <c r="D84"/>
  <c r="G82"/>
  <c r="E80"/>
  <c r="D80"/>
  <c r="K39" i="1"/>
  <c r="N39" s="1"/>
  <c r="J37"/>
  <c r="M37" s="1"/>
  <c r="I38"/>
  <c r="I40"/>
  <c r="I41"/>
  <c r="K36"/>
  <c r="N36" s="1"/>
  <c r="F76"/>
  <c r="F75"/>
  <c r="I35"/>
  <c r="I34"/>
  <c r="N76" l="1"/>
  <c r="M76"/>
  <c r="N75"/>
  <c r="M75"/>
  <c r="J39"/>
  <c r="M39" s="1"/>
  <c r="K37"/>
  <c r="N37" s="1"/>
  <c r="O52"/>
  <c r="L52"/>
  <c r="O36"/>
  <c r="L36"/>
  <c r="O21"/>
  <c r="O38"/>
  <c r="O40"/>
  <c r="I36"/>
  <c r="O41"/>
  <c r="G80" i="3"/>
  <c r="G84"/>
  <c r="G88"/>
  <c r="I39" i="1"/>
  <c r="I37"/>
  <c r="O35"/>
  <c r="O34"/>
  <c r="G78" i="3"/>
  <c r="I22" i="1"/>
  <c r="D13" i="5"/>
  <c r="G27"/>
  <c r="D6"/>
  <c r="D8"/>
  <c r="D4"/>
  <c r="F3"/>
  <c r="E3"/>
  <c r="J32" i="1"/>
  <c r="M32" s="1"/>
  <c r="J31"/>
  <c r="M31" s="1"/>
  <c r="D11" i="5"/>
  <c r="J33" i="1"/>
  <c r="M33" s="1"/>
  <c r="H30"/>
  <c r="G30"/>
  <c r="J30" s="1"/>
  <c r="M30" s="1"/>
  <c r="J27"/>
  <c r="M27" s="1"/>
  <c r="I25"/>
  <c r="I26"/>
  <c r="I17"/>
  <c r="I19"/>
  <c r="I23"/>
  <c r="J24"/>
  <c r="M24" s="1"/>
  <c r="I20"/>
  <c r="I18"/>
  <c r="F70" i="4"/>
  <c r="F31"/>
  <c r="H71" i="1" s="1"/>
  <c r="K71" s="1"/>
  <c r="N71" s="1"/>
  <c r="F22" i="4"/>
  <c r="H70" i="1" s="1"/>
  <c r="K70" s="1"/>
  <c r="N70" s="1"/>
  <c r="I15"/>
  <c r="I49"/>
  <c r="I50"/>
  <c r="I51"/>
  <c r="I58"/>
  <c r="I66"/>
  <c r="I73"/>
  <c r="I75"/>
  <c r="I76"/>
  <c r="F69" i="4"/>
  <c r="G67" i="1" s="1"/>
  <c r="J67" s="1"/>
  <c r="M67" s="1"/>
  <c r="F59" i="4"/>
  <c r="G68" i="1" s="1"/>
  <c r="J68" s="1"/>
  <c r="M68" s="1"/>
  <c r="B49" i="4"/>
  <c r="B39"/>
  <c r="G71" i="1"/>
  <c r="J71" s="1"/>
  <c r="M71" s="1"/>
  <c r="G70"/>
  <c r="J70" s="1"/>
  <c r="M70" s="1"/>
  <c r="B68" i="3"/>
  <c r="E34"/>
  <c r="L37" i="1" l="1"/>
  <c r="K33"/>
  <c r="N33" s="1"/>
  <c r="O37"/>
  <c r="L39"/>
  <c r="K30"/>
  <c r="N30" s="1"/>
  <c r="O39"/>
  <c r="O75"/>
  <c r="O27"/>
  <c r="L27"/>
  <c r="L71"/>
  <c r="L32"/>
  <c r="O32"/>
  <c r="L70"/>
  <c r="L24"/>
  <c r="O24"/>
  <c r="L31"/>
  <c r="O31"/>
  <c r="I31"/>
  <c r="O22"/>
  <c r="I27"/>
  <c r="O25"/>
  <c r="I32"/>
  <c r="I33"/>
  <c r="O19"/>
  <c r="O17"/>
  <c r="O18"/>
  <c r="I24"/>
  <c r="I30"/>
  <c r="O26"/>
  <c r="O20"/>
  <c r="O23"/>
  <c r="I70"/>
  <c r="I71"/>
  <c r="O76"/>
  <c r="O73"/>
  <c r="F50" i="4"/>
  <c r="H65" i="1" s="1"/>
  <c r="K65" s="1"/>
  <c r="N65" s="1"/>
  <c r="G19" i="4"/>
  <c r="F68" i="3"/>
  <c r="G37" i="4"/>
  <c r="F40"/>
  <c r="H64" i="1" s="1"/>
  <c r="K64" s="1"/>
  <c r="N64" s="1"/>
  <c r="G76" i="4"/>
  <c r="G67"/>
  <c r="G47"/>
  <c r="G57"/>
  <c r="F60"/>
  <c r="F49"/>
  <c r="F39"/>
  <c r="F30"/>
  <c r="G30" s="1"/>
  <c r="G28"/>
  <c r="F21"/>
  <c r="L33" i="1" l="1"/>
  <c r="L30"/>
  <c r="O33"/>
  <c r="O30"/>
  <c r="B71" i="3"/>
  <c r="G69" i="4"/>
  <c r="H67" i="1"/>
  <c r="K67" s="1"/>
  <c r="N67" s="1"/>
  <c r="G59" i="4"/>
  <c r="H68" i="1"/>
  <c r="K68" s="1"/>
  <c r="N68" s="1"/>
  <c r="G49" i="4"/>
  <c r="G65" i="1"/>
  <c r="J65" s="1"/>
  <c r="M65" s="1"/>
  <c r="G39" i="4"/>
  <c r="G64" i="1"/>
  <c r="J64" s="1"/>
  <c r="M64" s="1"/>
  <c r="G21" i="4"/>
  <c r="O16" i="1" l="1"/>
  <c r="L65"/>
  <c r="L64"/>
  <c r="L67"/>
  <c r="L68"/>
  <c r="I67"/>
  <c r="I68"/>
  <c r="I64"/>
  <c r="I65"/>
  <c r="H11"/>
  <c r="J11"/>
  <c r="M11" s="1"/>
  <c r="K11" l="1"/>
  <c r="I11"/>
  <c r="G6" i="4"/>
  <c r="C63" i="3"/>
  <c r="D63"/>
  <c r="B63"/>
  <c r="R14"/>
  <c r="O14"/>
  <c r="I48"/>
  <c r="L11" i="1" l="1"/>
  <c r="N11"/>
  <c r="F20" i="3"/>
  <c r="F21" s="1"/>
  <c r="B51"/>
  <c r="B52" s="1"/>
  <c r="O11" i="1" l="1"/>
  <c r="O10" s="1"/>
  <c r="B34" i="3"/>
  <c r="E36" s="1"/>
  <c r="I38" l="1"/>
  <c r="I28" l="1"/>
  <c r="I29" s="1"/>
  <c r="I34" s="1"/>
  <c r="H21"/>
  <c r="I39" s="1"/>
  <c r="I41" s="1"/>
  <c r="B20"/>
  <c r="B19"/>
  <c r="B21" l="1"/>
  <c r="E24" s="1"/>
  <c r="B10" s="1"/>
  <c r="B11" s="1"/>
  <c r="B27"/>
  <c r="B26"/>
  <c r="B25"/>
  <c r="K27"/>
  <c r="K29" s="1"/>
  <c r="K30" s="1"/>
  <c r="K34" s="1"/>
  <c r="O49" i="1"/>
  <c r="O51"/>
  <c r="O50"/>
  <c r="K13"/>
  <c r="N13" s="1"/>
  <c r="N9" l="1"/>
  <c r="N78"/>
  <c r="L13"/>
  <c r="C40" i="3"/>
  <c r="D40" s="1"/>
  <c r="C42"/>
  <c r="C43"/>
  <c r="C41"/>
  <c r="B22"/>
  <c r="E25" s="1"/>
  <c r="I13" i="1"/>
  <c r="O13" l="1"/>
  <c r="O67"/>
  <c r="O71"/>
  <c r="O68"/>
  <c r="O70"/>
  <c r="O69" l="1"/>
  <c r="J55" l="1"/>
  <c r="M55" s="1"/>
  <c r="M9" l="1"/>
  <c r="M78"/>
  <c r="L55"/>
  <c r="I55"/>
  <c r="D64"/>
  <c r="D65"/>
  <c r="L57" l="1"/>
  <c r="I57"/>
  <c r="O64"/>
  <c r="O65"/>
  <c r="O66"/>
  <c r="O55"/>
  <c r="O15"/>
  <c r="O12" s="1"/>
  <c r="O58"/>
  <c r="O63" l="1"/>
  <c r="O42"/>
  <c r="O57"/>
  <c r="O9" l="1"/>
  <c r="O78"/>
</calcChain>
</file>

<file path=xl/comments1.xml><?xml version="1.0" encoding="utf-8"?>
<comments xmlns="http://schemas.openxmlformats.org/spreadsheetml/2006/main">
  <authors>
    <author>thomas.azevedo</author>
  </authors>
  <commentList>
    <comment ref="F34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CONTÉM  ESCAVAÇÃO PARA MURO DO CD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CONTÉM CONCRETO PARA MURO DO CD</t>
        </r>
      </text>
    </comment>
    <comment ref="D53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Radier da quadra de concreto (quadra menor) e calçada envoltória da quadra de grama sintética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 quantitativo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quadra de concreto (quadra menor)</t>
        </r>
      </text>
    </comment>
    <comment ref="F54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 quantitativo</t>
        </r>
      </text>
    </comment>
    <comment ref="D55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pracinha</t>
        </r>
      </text>
    </comment>
    <comment ref="F55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</t>
        </r>
      </text>
    </comment>
    <comment ref="D56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piso intertravado</t>
        </r>
      </text>
    </comment>
    <comment ref="F57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grama sintética</t>
        </r>
      </text>
    </comment>
    <comment ref="D60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grama sintética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grama sintética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grama sintética</t>
        </r>
      </text>
    </comment>
    <comment ref="F66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</t>
        </r>
      </text>
    </comment>
    <comment ref="F67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1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quadra de grama sintética e de concreto</t>
        </r>
      </text>
    </comment>
    <comment ref="D72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quadra de grama sintética</t>
        </r>
      </text>
    </comment>
    <comment ref="D73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METALURGICA TAQUARI
</t>
        </r>
      </text>
    </comment>
    <comment ref="F73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Pra sser maior foram considerados 2 portões</t>
        </r>
      </text>
    </comment>
    <comment ref="D74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quadra de concreto menor</t>
        </r>
      </text>
    </comment>
    <comment ref="D75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brinquedos da pracinha
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Para brinquedos da pracinha</t>
        </r>
      </text>
    </comment>
  </commentList>
</comments>
</file>

<file path=xl/comments2.xml><?xml version="1.0" encoding="utf-8"?>
<comments xmlns="http://schemas.openxmlformats.org/spreadsheetml/2006/main">
  <authors>
    <author>thomas.azevedo</author>
  </authors>
  <commentList>
    <comment ref="F26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</t>
        </r>
      </text>
    </comment>
    <comment ref="F54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</t>
        </r>
      </text>
    </comment>
    <comment ref="F64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</t>
        </r>
      </text>
    </comment>
    <comment ref="F74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</t>
        </r>
      </text>
    </comment>
    <comment ref="F83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</t>
        </r>
      </text>
    </comment>
    <comment ref="F96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</t>
        </r>
      </text>
    </comment>
    <comment ref="F107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Ivete passou</t>
        </r>
      </text>
    </comment>
  </commentList>
</comments>
</file>

<file path=xl/comments3.xml><?xml version="1.0" encoding="utf-8"?>
<comments xmlns="http://schemas.openxmlformats.org/spreadsheetml/2006/main">
  <authors>
    <author>thomas.azevedo</author>
  </authors>
  <commentList>
    <comment ref="R7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FORAM REALIZADAS SOMAS DE DIFERNETES FORMAS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thomas.azevedo:
Retirada do catálogo Gerdau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Soma do piso entorno da grama e quadra menor de concreto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10% a mais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Diferença da área da quadra pela área da grama</t>
        </r>
      </text>
    </comment>
    <comment ref="F21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10 cm de radier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10 cm de radier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thomas.azeved</t>
        </r>
      </text>
    </comment>
    <comment ref="D57" authorId="0">
      <text>
        <r>
          <rPr>
            <b/>
            <sz val="9"/>
            <color indexed="81"/>
            <rFont val="Tahoma"/>
            <family val="2"/>
          </rPr>
          <t>thomas.azevedo:
inclui balanço 3 lugares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escorregador de plástico com estrutura de ferro carbono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escorregador de madeira</t>
        </r>
      </text>
    </comment>
    <comment ref="B59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balanço 3 lugares
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balanço 4 lugares
</t>
        </r>
      </text>
    </comment>
  </commentList>
</comments>
</file>

<file path=xl/sharedStrings.xml><?xml version="1.0" encoding="utf-8"?>
<sst xmlns="http://schemas.openxmlformats.org/spreadsheetml/2006/main" count="1075" uniqueCount="531">
  <si>
    <t>M2</t>
  </si>
  <si>
    <t>M3</t>
  </si>
  <si>
    <t>M</t>
  </si>
  <si>
    <t>Item</t>
  </si>
  <si>
    <t>Fonte</t>
  </si>
  <si>
    <t>Código</t>
  </si>
  <si>
    <t>Descrição</t>
  </si>
  <si>
    <t>Quantidade</t>
  </si>
  <si>
    <t>Preço Total
(R$)</t>
  </si>
  <si>
    <t>BDI da obra:</t>
  </si>
  <si>
    <t>1.</t>
  </si>
  <si>
    <t>1.1</t>
  </si>
  <si>
    <t>3.</t>
  </si>
  <si>
    <t>3.3</t>
  </si>
  <si>
    <t>Planilha Orçamentária</t>
  </si>
  <si>
    <t>PAISAGISMO</t>
  </si>
  <si>
    <t>PESQUISA</t>
  </si>
  <si>
    <t>UN</t>
  </si>
  <si>
    <t>3.1</t>
  </si>
  <si>
    <t>3.2</t>
  </si>
  <si>
    <t>2.</t>
  </si>
  <si>
    <t>4.</t>
  </si>
  <si>
    <t>SINAPI</t>
  </si>
  <si>
    <t>89512</t>
  </si>
  <si>
    <t>TUBO PVC, SÉRIE R, ÁGUA PLUVIAL, DN 100 MM, FORNECIDO E INSTALADO EM RAMAL DE ENCAMINHAMENTO. AF_12/2014</t>
  </si>
  <si>
    <t>92396</t>
  </si>
  <si>
    <t>100323</t>
  </si>
  <si>
    <t>-</t>
  </si>
  <si>
    <t>KG/M²</t>
  </si>
  <si>
    <t>LIMITADOR DE GRAMA</t>
  </si>
  <si>
    <t>CÁLCULO DAS TELAS PARA QUADRA</t>
  </si>
  <si>
    <t>TELA Q - 92</t>
  </si>
  <si>
    <t>ÁREA TOTAL QUADRA</t>
  </si>
  <si>
    <t>TOTAL EM KG</t>
  </si>
  <si>
    <t>TOTAL</t>
  </si>
  <si>
    <t>BUXUS</t>
  </si>
  <si>
    <t>LIXEIRAS RECICLÁVEIS DUPLAS</t>
  </si>
  <si>
    <t>99250</t>
  </si>
  <si>
    <t>CAIXA ENTERRADA HIDRÁULICA RETANGULAR EM ALVENARIA COM TIJOLOS CERÂMICOS MACIÇOS, DIMENSÕES INTERNAS: 0,3X0,3X0,3 M PARA REDE DE DRENAGEM. AF_12/2020</t>
  </si>
  <si>
    <t>97088</t>
  </si>
  <si>
    <t xml:space="preserve">ARMAÇÃO PARA EXECUÇÃO DE RADIER, COM USO DE TELA Q-92. AF_09/2017 </t>
  </si>
  <si>
    <t>KG</t>
  </si>
  <si>
    <t>97097</t>
  </si>
  <si>
    <t>ACABAMENTO POLIDO PARA PISO DE CONCRETO ARMADO DE ALTA RESISTÊNCIA. AF_09/2017</t>
  </si>
  <si>
    <t>FABRICAÇÃO, MONTAGEM E DESMONTAGEM DE FÔRMA PARA VIGA BALDRAME, EM MADEIRA SERRADA, E=25 MM, 1 UTILIZAÇÃO. AF_06/2017</t>
  </si>
  <si>
    <t>96530</t>
  </si>
  <si>
    <t>98504</t>
  </si>
  <si>
    <t>ÁREA GRAMA</t>
  </si>
  <si>
    <t>ÁREA PISO POLIDO</t>
  </si>
  <si>
    <t>ÁREA TOTAL DE PISO</t>
  </si>
  <si>
    <t>DIMENSÕES VIGAS</t>
  </si>
  <si>
    <t>METROS LINEARES</t>
  </si>
  <si>
    <t>VOL. TOTAL</t>
  </si>
  <si>
    <t>BARRAS LONGITUDINAIS</t>
  </si>
  <si>
    <t>Nº BARRAS</t>
  </si>
  <si>
    <t>EM BARRAS DE 12m</t>
  </si>
  <si>
    <t>ESTRIBOS</t>
  </si>
  <si>
    <t>ESPAÇO ENTRE</t>
  </si>
  <si>
    <t>TOTAL DE ESTRIBOS</t>
  </si>
  <si>
    <t>MEDIDA LINEAR DE 1 ESTRIBO</t>
  </si>
  <si>
    <t>MEDIDA LINEAR TOTAL DE ESTRBOS</t>
  </si>
  <si>
    <t>EM BARRAS DE 12</t>
  </si>
  <si>
    <t>MASSA DA BARRA</t>
  </si>
  <si>
    <t>MASSA TOTAL</t>
  </si>
  <si>
    <t>H FORMA</t>
  </si>
  <si>
    <t>COMPRIMENTO FORMA</t>
  </si>
  <si>
    <t>LADOS</t>
  </si>
  <si>
    <t>ÁREA TOTAL</t>
  </si>
  <si>
    <t>FORMAS</t>
  </si>
  <si>
    <t>MÉDIA GRAMA</t>
  </si>
  <si>
    <t>ORÇAMENTO 1</t>
  </si>
  <si>
    <t>ORÇAMENTO 2</t>
  </si>
  <si>
    <t>ORÇAMENTO 3</t>
  </si>
  <si>
    <t>MÉDIA</t>
  </si>
  <si>
    <t>SINAPI - SISTEMA NACIONAL DE PESQUISA DE CUSTOS E ÍNDICES DA CONSTRUÇÃO CIVIL</t>
  </si>
  <si>
    <t>PCI.818.01 - COMPOSIÇÕES ATIVAS ANALÍTICAS COM CUSTO</t>
  </si>
  <si>
    <t>* Composições constantes nos Relatórios publicados de Composições Analíticas para as 27 Unidades da Federação</t>
  </si>
  <si>
    <t>Unidade de medida:</t>
  </si>
  <si>
    <t>I</t>
  </si>
  <si>
    <t>C</t>
  </si>
  <si>
    <t>CHP</t>
  </si>
  <si>
    <t>7/ABRANGENCIA: NACIONAL</t>
  </si>
  <si>
    <t>H</t>
  </si>
  <si>
    <t>SERVENTE COM ENCARGOS COMPLEMENTARES</t>
  </si>
  <si>
    <t>PLACA VIBRATÓRIA REVERSÍVEL COM MOTOR 4 TEMPOS A GASOLINA, FORÇA CENTRÍFUGA DE 25 KN (2500 KGF), POTÊNCIA 5,5 CV - CHP DIURNO. AF_08/2015</t>
  </si>
  <si>
    <t>CHI</t>
  </si>
  <si>
    <t>TOTAL M3</t>
  </si>
  <si>
    <t>TIPO</t>
  </si>
  <si>
    <t>CÓDIGO</t>
  </si>
  <si>
    <t>DESCRIÇÃO</t>
  </si>
  <si>
    <t>UNIDADE</t>
  </si>
  <si>
    <t>QNTD.</t>
  </si>
  <si>
    <t>CUSTO UNIT.</t>
  </si>
  <si>
    <t>TOTAL (R$)</t>
  </si>
  <si>
    <t>COMPOSIÇÃO</t>
  </si>
  <si>
    <t>COMPOSIÇÃO 02</t>
  </si>
  <si>
    <t>COMPOSIÇÃO 01</t>
  </si>
  <si>
    <t xml:space="preserve">COMPOSIÇÃO </t>
  </si>
  <si>
    <t>MAT</t>
  </si>
  <si>
    <t>M.O</t>
  </si>
  <si>
    <t>PLACA VIBRATÓRIA REVERSÍVEL COM MOTOR 4 TEMPOS A GASOLINA, FORÇA CENTRÍFUGA DE 25 KN (2500 KGF), POTÊNCIA 5,5 CV - CHI DIURNO. AF_08/2015</t>
  </si>
  <si>
    <t>PEDREIRO COM ENCARGOS COMPLEMENTARES</t>
  </si>
  <si>
    <t>VOLUME DE BRITA 02</t>
  </si>
  <si>
    <t>VOLUME DE BRITA 01</t>
  </si>
  <si>
    <t>VOLUME DE BRITA 00</t>
  </si>
  <si>
    <t>COMPOSIÇÃO 03</t>
  </si>
  <si>
    <t>TUBOS DE 100</t>
  </si>
  <si>
    <t>AÇO PARA VIGA BALDRAME</t>
  </si>
  <si>
    <t>ÁREA QUADRA (MENOR) DE CONCRETO</t>
  </si>
  <si>
    <t>ÁREA DE PISO POLIDO DA QUADRA MENOR</t>
  </si>
  <si>
    <t>PISO POLIDO TOTAL</t>
  </si>
  <si>
    <t xml:space="preserve">VOLUME DE RADIER </t>
  </si>
  <si>
    <t>VOLUME DE RADIER</t>
  </si>
  <si>
    <t>VOLUME TOTAL DE RADIER</t>
  </si>
  <si>
    <t>BDI</t>
  </si>
  <si>
    <t>ÁREA PASSEIO (SAIBRO)</t>
  </si>
  <si>
    <t>ESPESSURA DO PASSEIO (SAIBRO)</t>
  </si>
  <si>
    <t>VOLUME (SAIBRO)</t>
  </si>
  <si>
    <t>SOMA MEIO FIO</t>
  </si>
  <si>
    <t>MÉDIA BRINQUEDOS</t>
  </si>
  <si>
    <t>PLAYGROUND</t>
  </si>
  <si>
    <t>ESCORREGADOR</t>
  </si>
  <si>
    <t>BALANÇO</t>
  </si>
  <si>
    <t>GANGORRSA ACESSÍVEL</t>
  </si>
  <si>
    <t>CARROSSEL ACESSÍVEL</t>
  </si>
  <si>
    <t>BALANÇO INCLUSÃO</t>
  </si>
  <si>
    <t>total</t>
  </si>
  <si>
    <t>PISO QUADRA DE CONCRETO  (MENOR)</t>
  </si>
  <si>
    <t>EMPRESA 1</t>
  </si>
  <si>
    <t>EMPRESA 2</t>
  </si>
  <si>
    <t>EMPRESA 3</t>
  </si>
  <si>
    <t>5.</t>
  </si>
  <si>
    <t>SERVIÇOS PRELIMINARES</t>
  </si>
  <si>
    <t>COMPOSIÇÃO 04</t>
  </si>
  <si>
    <t>PLACA DE OBRA EM CHAPA DE ACO GALVANIZADO</t>
  </si>
  <si>
    <t>TOTAL M2</t>
  </si>
  <si>
    <t>SARRAFO DE MADEIRA NAO APARELHADA *2,5 X 7* CM, MACARANDUBA, ANGELIM OU EQUIVALENTE DA REGIAO</t>
  </si>
  <si>
    <t>PONTALETE DE MADEIRA NAO APARELHADA *7,5 X 7,5* CM (3 X 3 ") PINUS, MISTA OU EQUIVALENTE DA REGIAO</t>
  </si>
  <si>
    <t>PLACA DE OBRA (PARA CONSTRUCAO CIVIL) EM CHAPA GALVANIZADA *N. 22*, ADESIVADA, DE *2,0 X 1,125* M</t>
  </si>
  <si>
    <t>PREGO DE ACO POLIDO COM CABECA 18 X 30 (2 3/4 X 10)</t>
  </si>
  <si>
    <t>CARPINTEIRO DE FORMAS COM ENCARGOS COMPLEMENTARES</t>
  </si>
  <si>
    <t>CONCRETO MAGRO PARA LASTRO, TRAÇO 1:4,5:4,5 (CIMENTO/ AREIA MÉDIA/ BRITA 1)  - PREPARO MECÂNICO COM BETONEIRA 400 L. AF_07/2016</t>
  </si>
  <si>
    <t>4417</t>
  </si>
  <si>
    <t>4491</t>
  </si>
  <si>
    <t>4813</t>
  </si>
  <si>
    <t>5075</t>
  </si>
  <si>
    <t>88262</t>
  </si>
  <si>
    <t>88316</t>
  </si>
  <si>
    <t>94962</t>
  </si>
  <si>
    <t>MÉDIA QUANTIDADE DE AREIA (M3)</t>
  </si>
  <si>
    <t>M3 DE AREIA POR M2</t>
  </si>
  <si>
    <t>88241</t>
  </si>
  <si>
    <t>AJUDANTE DE OPERAÇÃO EM GERAL COM ENCARGOS COMPLEMENTARES</t>
  </si>
  <si>
    <t>DIMENSÕES</t>
  </si>
  <si>
    <t>QUADRA</t>
  </si>
  <si>
    <t>GRAMA</t>
  </si>
  <si>
    <t>28,5x44</t>
  </si>
  <si>
    <t>26,5x42</t>
  </si>
  <si>
    <t>QUADRA MENOR</t>
  </si>
  <si>
    <t>BLOCOS DE CONCRETO PARA BRINQUEDOS</t>
  </si>
  <si>
    <t>VOL</t>
  </si>
  <si>
    <t>93358</t>
  </si>
  <si>
    <t>ESCAVAÇÃO MANUAL DE VALA COM PROFUNDIDADE MENOR OU IGUAL A 1,30 M. AF_02/2021</t>
  </si>
  <si>
    <t>APOIO (PARA CONCRETO)</t>
  </si>
  <si>
    <t>Nº DE APOIOS</t>
  </si>
  <si>
    <t>VOL TOTAL</t>
  </si>
  <si>
    <t>TOTAL ESCAVAÇÃO</t>
  </si>
  <si>
    <t>TOTAL CONCRETO</t>
  </si>
  <si>
    <t>94963</t>
  </si>
  <si>
    <t>CONCRETO FCK = 15MPA, TRAÇO 1:3,4:3,5 (EM MASSA SECA DE CIMENTO/ AREIA MÉDIA/ BRITA 1) - PREPARO MECÂNICO COM BETONEIRA 400 L. AF_05/2021</t>
  </si>
  <si>
    <t>COMPOSIÇÃO 05</t>
  </si>
  <si>
    <t>COMPOSIÇÃO 06</t>
  </si>
  <si>
    <t>3.4</t>
  </si>
  <si>
    <t>3.5</t>
  </si>
  <si>
    <t>COMPOSIÇÃO 07</t>
  </si>
  <si>
    <t>06</t>
  </si>
  <si>
    <t>07</t>
  </si>
  <si>
    <t>COMPOSIÇÃO 08</t>
  </si>
  <si>
    <t>88441</t>
  </si>
  <si>
    <t>ITEM SINAPI REFEREÊNCIA: 98510</t>
  </si>
  <si>
    <t>JARDINEIRO COM ENCARGOS COMPLEMENTARES</t>
  </si>
  <si>
    <t>08</t>
  </si>
  <si>
    <t>09</t>
  </si>
  <si>
    <t>10</t>
  </si>
  <si>
    <t>11</t>
  </si>
  <si>
    <t>COMPOSIÇÃO 09</t>
  </si>
  <si>
    <t>COMPOSIÇÃO 10</t>
  </si>
  <si>
    <t>ITEM SINAPI REFEREÊNCIA: 98504</t>
  </si>
  <si>
    <t xml:space="preserve">SERVENTE COM ENCARGOS COMPLEMENTARES </t>
  </si>
  <si>
    <t>COMPOSIÇÃO 11</t>
  </si>
  <si>
    <t>05</t>
  </si>
  <si>
    <t>mo</t>
  </si>
  <si>
    <t>mat</t>
  </si>
  <si>
    <t>4.1</t>
  </si>
  <si>
    <t>4.2</t>
  </si>
  <si>
    <t>4.3</t>
  </si>
  <si>
    <t>5.1</t>
  </si>
  <si>
    <t>5.2</t>
  </si>
  <si>
    <t>5.3</t>
  </si>
  <si>
    <t>5.4</t>
  </si>
  <si>
    <t>5.5</t>
  </si>
  <si>
    <t>Material (R$)</t>
  </si>
  <si>
    <t>Mão de Obra (R$)</t>
  </si>
  <si>
    <t>Total (R$)</t>
  </si>
  <si>
    <t xml:space="preserve">CUSTO UNITÁRIO S/BDI </t>
  </si>
  <si>
    <t xml:space="preserve">PREÇO TOTAL C/BDI </t>
  </si>
  <si>
    <t>Mão de obra (R$)</t>
  </si>
  <si>
    <t>PISO DE CONCRETO EM VOLTA DA GRAMA SINTÉTICA</t>
  </si>
  <si>
    <t>BRITAS</t>
  </si>
  <si>
    <t>MEIO FIO</t>
  </si>
  <si>
    <t>PISO INTERTRAVADO</t>
  </si>
  <si>
    <t>SOMA 1</t>
  </si>
  <si>
    <t>SOMA 2</t>
  </si>
  <si>
    <t>91864</t>
  </si>
  <si>
    <t>101876</t>
  </si>
  <si>
    <t>ELETRODUTO DN 32 MM (1")</t>
  </si>
  <si>
    <t>ELETRODUTO DN 40 MM (1 1/4")</t>
  </si>
  <si>
    <t>CAIXA ELÉTRICA DE PASSAGEM</t>
  </si>
  <si>
    <t>ELETRODUTO DN 25 MM</t>
  </si>
  <si>
    <t>ESCAVAÇÃO</t>
  </si>
  <si>
    <t>CD</t>
  </si>
  <si>
    <t>POSTE DE ENERGIA MONOFÁSICO</t>
  </si>
  <si>
    <t>CABO DE COBRE 2,5MM2</t>
  </si>
  <si>
    <t>CABO DE COBRE 10MM2</t>
  </si>
  <si>
    <t>ELETRODUTO RÍGIDO ROSCÁVEL, PVC, DN 32 MM (1"), PARA CIRCUITOS TERMINAIS, INSTALADO EM FORRO - FORNECIMENTO E INSTALAÇÃO. AF_12/2015</t>
  </si>
  <si>
    <t>95812</t>
  </si>
  <si>
    <t>CONDULETE DE PVC, TIPO LB, PARA ELETRODUTO DE PVC SOLDÁVEL DN 32 MM (1''), APARENTE - FORNECIMENTO E INSTALAÇÃO. AF_11/2016</t>
  </si>
  <si>
    <t>LUMINÁRIA</t>
  </si>
  <si>
    <t>QUADRO DE DISTRIBUIÇÃO DE ENERGIA EM PVC, DE EMBUTIR, SEM BARRAMENTO, PARA 6 DISJUNTORES - FORNECIMENTO E INSTALAÇÃO. AF_10/2020</t>
  </si>
  <si>
    <t>101658</t>
  </si>
  <si>
    <t>LUMINÁRIA DE LED PARA ILUMINAÇÃO PÚBLICA, DE 138 W ATÉ 180 W - FORNECIMENTO E INSTALAÇÃO. AF_08/2020</t>
  </si>
  <si>
    <t>OK</t>
  </si>
  <si>
    <t>91863</t>
  </si>
  <si>
    <t>ELETRODUTO RÍGIDO ROSCÁVEL, PVC, DN 25 MM (3/4"), PARA CIRCUITOS TERMINAIS, INSTALADO EM FORRO - FORNECIMENTO E INSTALAÇÃO. AF_12/2015</t>
  </si>
  <si>
    <t>91926</t>
  </si>
  <si>
    <t xml:space="preserve">CABO DE COBRE FLEXÍVEL ISOLADO, 2,5 MM², ANTI-CHAMA 450/750 V, PARA CIRCUITOS TERMINAIS - FORNECIMENTO E INSTALAÇÃO. AF_12/2015
</t>
  </si>
  <si>
    <t>CABO DE COBRE FLEXÍVEL ISOLADO, 10 MM², ANTI-CHAMA 450/750 V, PARA CIRCUITOS TERMINAIS - FORNECIMENTO E INSTALAÇÃO. AF_12/2015</t>
  </si>
  <si>
    <t>91932</t>
  </si>
  <si>
    <t>101489</t>
  </si>
  <si>
    <t>ENTRADA DE ENERGIA ELÉTRICA, AÉREA, MONOFÁSICA, COM CAIXA DE SOBREPOR, CABO DE 10 MM2 E DISJUNTOR DIN 50A (NÃO INCLUSO O POSTE DE CONCRETO). AF_07/2020_P</t>
  </si>
  <si>
    <t>COMPOSIÇÃO 12</t>
  </si>
  <si>
    <t>ASSENTAMENTO DE POSTE DE CONCRETO COM
COMPRIMENTO NOMINAL DE 9 M, ENGASTAMENTO BASE CONCRETADA COM 1 M DE CONCRETO E 0,5 M DE SOLO (INCLUI FORNECIMENTO).</t>
  </si>
  <si>
    <t>ITEM SINAPI REFERÊNCIA: 100599</t>
  </si>
  <si>
    <t>863</t>
  </si>
  <si>
    <t>5928</t>
  </si>
  <si>
    <t>88247</t>
  </si>
  <si>
    <t>88264</t>
  </si>
  <si>
    <t>CABO DE COBRE NU 35 MM2 MEIO-DURO</t>
  </si>
  <si>
    <t>AUXILIAR DE ELETRICISTA COM ENCARGOS COMPLEMENTARES</t>
  </si>
  <si>
    <t>ELETRICISTA COM ENCARGOS COMPLEMENTARES</t>
  </si>
  <si>
    <t>CONCRETO MAGRO PARA LASTRO, TRAÇO 1:4,5:4,5 (EM MASSA SECA DE CIMENTO/ AREIA MÉDIA/ BRITA 1) - PREPARO MECÂNICO COM BETONEIRA 400 L. AF_05/2021</t>
  </si>
  <si>
    <t>GUINDAUTO HIDRÁULICO, CAPACIDADE MÁXIMA DE CARGA 6200 KG, MOMENTO MÁXIMO DE CARGA 11,7 TM, ALCANCE MÁXIMO HORIZONTAL 9,70 M, INCLUSIVE CAMINHÃO TOCO PBT 16.000 KG, POTÊNCIA DE 189 CV - CHP DIURNO. AF_06/2014</t>
  </si>
  <si>
    <t>12</t>
  </si>
  <si>
    <t>97886</t>
  </si>
  <si>
    <t>CAIXA ENTERRADA ELÉTRICA RETANGULAR, EM ALVENARIA COM TIJOLOS CERÂMICOS MACIÇOS, FUNDO COM BRITA, DIMENSÕES INTERNAS: 0,3X0,3X0,3 M. AF_12/2020</t>
  </si>
  <si>
    <t>102302</t>
  </si>
  <si>
    <t>ESCAVAÇÃO MECANIZADA DE VALA COM PROF. ATÉ 1,5 M (MÉDIA ENTRE MONTANTEE JUSANTE/UMA COMPOSIÇÃO POR TRECHO) COM RETROESCAVADEIRA (0,26 M3 /88 HP), LARG. MENOR QUE 0,8 M, EM SOLO MOLE, LOCAIS COM BAIXO NÍVEL DE INTERFERÊNCIA. AF_02/2021</t>
  </si>
  <si>
    <t>93381</t>
  </si>
  <si>
    <t>REATERRO MECANIZADO DE VALA COM RETROESCAVADEIRA (CAPACIDADE DA CAÇAMBA DA RETRO: 0,26 M³ / POTÊNCIA: 88 HP), LARGURA DE 0,8 A 1,5 M, PROFUNDIDADE DE 1,5 A 3,0 M, COM SOLO (SEM SUBSTITUIÇÃO) DE 1ª CATEGORIA EM
CAIS COM BAIXO NÍVEL DE INTERFERÊNCIA. AF_04/2016</t>
  </si>
  <si>
    <t>em vermelho distâncias verticais</t>
  </si>
  <si>
    <t>CALCULO</t>
  </si>
  <si>
    <t>COBRE 2,5MM2</t>
  </si>
  <si>
    <t>Terra</t>
  </si>
  <si>
    <t>Fase</t>
  </si>
  <si>
    <t>Neutro</t>
  </si>
  <si>
    <t>fio</t>
  </si>
  <si>
    <t>circuito 1</t>
  </si>
  <si>
    <t>circuito 2</t>
  </si>
  <si>
    <t>circuito 3</t>
  </si>
  <si>
    <t>DISJUNTOR</t>
  </si>
  <si>
    <t>93657</t>
  </si>
  <si>
    <t>DISJUNTOR MONOPOLAR TIPO DIN, CORRENTE NOMINAL DE 32A - FORNECIMENTO E INSTALAÇÃO. AF_10/2020</t>
  </si>
  <si>
    <t>ALVENARIA DE VEDAÇÃO DE BLOCOS CERÂMICOS MACIÇOS DE 5X10X20CM (ESPESSURA 10CM) E ARGAMASSA DE ASSENTAMENTO COM PREPARO EM BETONEIRA. AF_05/2020</t>
  </si>
  <si>
    <t>101159</t>
  </si>
  <si>
    <t>87878</t>
  </si>
  <si>
    <t>CHAPISCO APLICADO EM ALVENARIAS E ESTRUTURAS DE CONCRETO INTERNAS, COMCOLHER DE PEDREIRO. ARGAMASSA TRAÇO 1:3 COM PREPARO MANUAL. AF_06/2014</t>
  </si>
  <si>
    <t>87529</t>
  </si>
  <si>
    <t>MASSA ÚNICA, PARA RECEBIMENTO DE PINTURA, EM ARGAMASSA TRAÇO 1:2:8, PREPARO MECÂNICO COM BETONEIRA 400L, APLICADA MANUALMENTE EM FACES INTERNAS DE PAREDES, ESPESSURA DE 20MM, COM EXECUÇÃO DE TALISCAS. AF_06/2014</t>
  </si>
  <si>
    <t>88485</t>
  </si>
  <si>
    <t>APLICAÇÃO DE FUNDO SELADOR ACRÍLICO EM PAREDES, UMA DEMÃO. AF_06/2014</t>
  </si>
  <si>
    <t>88489</t>
  </si>
  <si>
    <t>APLICAÇÃO MANUAL DE PINTURA COM TINTA LÁTEX ACRÍLICA EM PAREDES, DUAS DEMÃOS. AF_06/2014</t>
  </si>
  <si>
    <t>INSTALAÇÕES ELÉTRICAS</t>
  </si>
  <si>
    <t>PROF.</t>
  </si>
  <si>
    <t>LARG.</t>
  </si>
  <si>
    <t>COMP.</t>
  </si>
  <si>
    <t>ÁREA</t>
  </si>
  <si>
    <t>FACE 1</t>
  </si>
  <si>
    <t>FACE 2</t>
  </si>
  <si>
    <t>BASE</t>
  </si>
  <si>
    <t>ALTURA</t>
  </si>
  <si>
    <t xml:space="preserve">FACE 1 </t>
  </si>
  <si>
    <t>MURETA 1X2</t>
  </si>
  <si>
    <t>FORMA</t>
  </si>
  <si>
    <t>ESCAVAÇÃO E CONCRETO</t>
  </si>
  <si>
    <t>CHAPISCO</t>
  </si>
  <si>
    <t>REBOCO</t>
  </si>
  <si>
    <t>SELADOR</t>
  </si>
  <si>
    <t>PINTURA</t>
  </si>
  <si>
    <t>ENCARGOS SOCIAIS NÃO DESONERADOS: 111,10%(HORA) 69,16%(MÊS)</t>
  </si>
  <si>
    <t>VOL.</t>
  </si>
  <si>
    <t>DISJUNTOR MONOPOLAR TIPO DIN, CORRENTE NOMINAL DE 16A - FORNECIMENTO E INSTALAÇÃO. AF_10/2020</t>
  </si>
  <si>
    <t>93654</t>
  </si>
  <si>
    <t>CÁLCULO FUNDAÇÕES</t>
  </si>
  <si>
    <t>VOL. BLOCO (M3)</t>
  </si>
  <si>
    <t>QNT. BLOCOS</t>
  </si>
  <si>
    <t>QNT. ESCAVAÇÃO</t>
  </si>
  <si>
    <t>VOL. TOTAL (M3)</t>
  </si>
  <si>
    <t>LASTRO DE CONCRETO (M3)</t>
  </si>
  <si>
    <t>ÁREA TOTAL DE FORMAS (M2)</t>
  </si>
  <si>
    <t>LONGITUDINAL</t>
  </si>
  <si>
    <t>ESTRIBO</t>
  </si>
  <si>
    <t>CA 50 12,5mm</t>
  </si>
  <si>
    <t>CA 60 5mm</t>
  </si>
  <si>
    <t>PARA VIGA BALDRAME</t>
  </si>
  <si>
    <t>VIGAS BALDRAMES</t>
  </si>
  <si>
    <t>COMPRIMENTO TOTAL</t>
  </si>
  <si>
    <t>LARGURA</t>
  </si>
  <si>
    <t>VOLUME TOTAL</t>
  </si>
  <si>
    <t>ÁREA TOTAL (M2)</t>
  </si>
  <si>
    <t>VOLUME TOTAL (M3)</t>
  </si>
  <si>
    <t>ESTRIBO 1</t>
  </si>
  <si>
    <t>ESTRIBO 2</t>
  </si>
  <si>
    <t>COMPRIMENTO DO ESTRIBO</t>
  </si>
  <si>
    <t>QNTD. POR BLOCO</t>
  </si>
  <si>
    <t>QNTD. TOTAL DE BLOCOS</t>
  </si>
  <si>
    <t>COMPRIMENTO TOTAL DE AÇO</t>
  </si>
  <si>
    <t>AÇO CA 50 8mm  (KG/m)</t>
  </si>
  <si>
    <t>MASSA TOTAL (KG)</t>
  </si>
  <si>
    <t>COMPRIMENTO</t>
  </si>
  <si>
    <t>Nº DE BARRAS</t>
  </si>
  <si>
    <t>CÁLCULO AÇO PARA BLOCOS - estribos</t>
  </si>
  <si>
    <t>ESCAVAÇÃO BLOCOS</t>
  </si>
  <si>
    <t>FORMAS BLOCOS</t>
  </si>
  <si>
    <t>BLOCOS</t>
  </si>
  <si>
    <t>FÔRMAS VIGA BALDRAMES</t>
  </si>
  <si>
    <t>ESCAVAÇÃO VIGAS BALDRAMES</t>
  </si>
  <si>
    <t>AÇO CA 50 12,5mm  (KG/m)</t>
  </si>
  <si>
    <t>ESPAÇO ENTRE ESTRIBOS</t>
  </si>
  <si>
    <t>COMPRIMENTO ESTRIBO</t>
  </si>
  <si>
    <t>CÁLCULO AÇO VIGAS BALDRAME - barras longitudinais</t>
  </si>
  <si>
    <t>CÁLCULO AÇO VIGAS BALDRAME - ESTRIBOS</t>
  </si>
  <si>
    <t>AÇO CA 60 5mm  (KG/m)</t>
  </si>
  <si>
    <t>ESTACAS</t>
  </si>
  <si>
    <t xml:space="preserve">Nº </t>
  </si>
  <si>
    <t>AÇO CA 60 - 5mm</t>
  </si>
  <si>
    <t>AÇO CA 50 - 10mm</t>
  </si>
  <si>
    <t>VOLUME TOTAL PARA CONCRETO</t>
  </si>
  <si>
    <t>PISOS</t>
  </si>
  <si>
    <t>LOCAÇÃO DE OBRA</t>
  </si>
  <si>
    <t>95695</t>
  </si>
  <si>
    <t>CURVA 90 GRAUS, PVC, SERIE R, ÁGUA PLUVIAL, DN 100 MM, JUNTA ELÁSTICA, FORNECIDO E INSTALADO EM CONDUTORES VERTICAIS DE ÁGUAS PLUVIAIS. AF_12/2014</t>
  </si>
  <si>
    <t>91841</t>
  </si>
  <si>
    <t>ELETRODUTO FLEXÍVEL LISO, PEAD, DN 40 MM (1 1/4"), PARA CIRCUITOS TERMINAIS, INSTALADO EM FORRO - FORNECIMENTO E INSTALAÇÃO. AF_12/2015</t>
  </si>
  <si>
    <t>91282</t>
  </si>
  <si>
    <t>CORTADORA DE PISO COM MOTOR 4 TEMPOS A GASOLINA, POTÊNCIA DE 13 HP, COM DISCO DE CORTE DIAMANTADO SEGMENTADO PARA CONCRETO, DIÂMETRO DE 350MM, FURO DE 1" (14 X 1") - MATERIAIS NA OPERAÇÃO. AF_08/2015</t>
  </si>
  <si>
    <t>88309</t>
  </si>
  <si>
    <t xml:space="preserve">PEDREIRO COM ENCARGOS COMPLEMENTARES </t>
  </si>
  <si>
    <t>FORNECIMENTO E INSTALAÇÃO DE LONA</t>
  </si>
  <si>
    <t>LONA PLASTICA PESADA PRETA, E = 150 MICRA</t>
  </si>
  <si>
    <t>3672</t>
  </si>
  <si>
    <t>JUNTA PLASTICA DE DILATACAO PARA PISOS, COR CINZA, 10 X 4,5 MM (ALTURA X ESPESSURA)</t>
  </si>
  <si>
    <t>CORTE DE JUNTAS DE DILATAÇÃO E PREENCHIMENTO DE JUNTAS</t>
  </si>
  <si>
    <t xml:space="preserve">CORTE DE JUNTAS DE DILATAÇÃO E PREENCHIMENTO DE JUNTAS  </t>
  </si>
  <si>
    <t>QUADRA MAIOR</t>
  </si>
  <si>
    <t>102505</t>
  </si>
  <si>
    <t>PINTURA DE DEMARCAÇÃO DE QUADRA POLIESPORTIVA COM BORRACHA CLORADA, E = 5CM, APLICAÇÃO MANUAL. AF_05/2021</t>
  </si>
  <si>
    <t>MÉDIA TELHAS</t>
  </si>
  <si>
    <t>INCLINAÇÃO TELHADO</t>
  </si>
  <si>
    <t>COMPRIMENTO ATÉ O CENTRO</t>
  </si>
  <si>
    <t>INCLINAÇÃO</t>
  </si>
  <si>
    <t>COMPRIMENTO DO TELHADO INCLINADO</t>
  </si>
  <si>
    <t>LADO</t>
  </si>
  <si>
    <t>TELHA POR M2</t>
  </si>
  <si>
    <t>98111</t>
  </si>
  <si>
    <t>96985</t>
  </si>
  <si>
    <t>AREIA FINA</t>
  </si>
  <si>
    <t>N0</t>
  </si>
  <si>
    <t>N1</t>
  </si>
  <si>
    <t>N2</t>
  </si>
  <si>
    <t>ESPESSURA</t>
  </si>
  <si>
    <t>VOLUME</t>
  </si>
  <si>
    <t>POR M2</t>
  </si>
  <si>
    <t>LASTRO COM MATERIAL GRANULAR (AREIA MÉDIA), APLICADO EM PISOS OU LAJES M3 CR 97,58
 SOBRE SOLO .AF_07/2019</t>
  </si>
  <si>
    <t>EXECUÇÃO DE PASSEIO EM PISO INTERTRAVADO, COM BLOCO RETANGULAR COR NATURAL DE 20 X 10 CM, ESPESSURA 6 CM. AF_12/2015</t>
  </si>
  <si>
    <t>94275</t>
  </si>
  <si>
    <t>ASSENTAMENTO DE GUIA (MEIO-FIO) EM TRECHO RETO, CONFECCIONADA EM CONCRETO PRÉ-FABRICADO, DIMENSÕES 100X15X13X20 CM (COMPRIMENTO X BASE INFERIOR X BASE SUPERIOR X ALTURA), PARA URBANIZAÇÃO INTERNA DE EMPREENDIMENTOS. AF_06/2016_P</t>
  </si>
  <si>
    <t>03</t>
  </si>
  <si>
    <t>CAIXA DE INSPEÇÃO PARA ATERRAMENTO, CIRCULAR, EM POLIETILENO, DIÂMETRO INTERNO = 0,3 M. AF_12/2020</t>
  </si>
  <si>
    <t>HASTE DE ATERRAMENTO 5/8 PARA SPDA - FORNECIMENTO E INSTALAÇÃO. AF_12/2017</t>
  </si>
  <si>
    <t>ok</t>
  </si>
  <si>
    <t>04741</t>
  </si>
  <si>
    <t xml:space="preserve">PO DE PEDRA (POSTO PEDREIRA/FORNECEDOR, SEM FRETE) </t>
  </si>
  <si>
    <t>PREÇO UNITÁRIO C/BDI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</si>
  <si>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</si>
  <si>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</si>
  <si>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</si>
  <si>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</si>
  <si>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</si>
  <si>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</si>
  <si>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</si>
  <si>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</si>
  <si>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</si>
  <si>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</si>
  <si>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</si>
  <si>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</si>
  <si>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</si>
  <si>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</si>
  <si>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</si>
  <si>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</si>
  <si>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</si>
  <si>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</si>
  <si>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</si>
  <si>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</si>
  <si>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4.4</t>
  </si>
  <si>
    <t>4.5</t>
  </si>
  <si>
    <t>4.6</t>
  </si>
  <si>
    <t>4.12</t>
  </si>
  <si>
    <t>4.13</t>
  </si>
  <si>
    <t>4.14</t>
  </si>
  <si>
    <t>4.15</t>
  </si>
  <si>
    <t>6.</t>
  </si>
  <si>
    <t>6.1</t>
  </si>
  <si>
    <t>6.2</t>
  </si>
  <si>
    <t>6.3</t>
  </si>
  <si>
    <t>FORNECIMENTO E INSTALAÇÃO DE LIXEIRAS RECICLÁVEIS DUPLAS</t>
  </si>
  <si>
    <t>FORNECIMENTO E INSTALAÇÃO DE PORTÃO METÁLICO TIPO BELGO</t>
  </si>
  <si>
    <t>PLANTIO DE BUXUS</t>
  </si>
  <si>
    <t>FORNECIMENTO E INSTALAÇÃO DE LIMITADOR DE GRAMA</t>
  </si>
  <si>
    <t>PLANTIO DE GRAMA EM PLACAS. AF_05/2018</t>
  </si>
  <si>
    <t>LASTRO COM MATERIAL GRANULAR PÓ DE PEDRA 8CM</t>
  </si>
  <si>
    <t>ACESSÓRIOS E EQUIPAMENTOS</t>
  </si>
  <si>
    <t>ALAMBRADO PARA QUADRA POLIESPORTIVA, ESTRUTURADO POR TUBOS DE ACO GALVANIZ ADO, (MONTANTES COM DIAMETRO 2", TRAVESSAS E ESCORAS COM DIÂMETRO 1 ¼), COM TELA DE ARAME GALVANIZADO, FIO 14 BWG E MALHA QUADRADA 5X5CM (EXCETO MU
RETA). AF_03/2021</t>
  </si>
  <si>
    <t>102362</t>
  </si>
  <si>
    <t>6.4</t>
  </si>
  <si>
    <t>ALAMBRADO</t>
  </si>
  <si>
    <t xml:space="preserve">25398 </t>
  </si>
  <si>
    <t>GOLEIRA PARA FUTSAL COM TRAVES 3,00 X 2,00M EM TUBO DE AÇO GALVANIZADO COM PINTURA PRIMER E REDES DE POLIETILENO</t>
  </si>
  <si>
    <t>FORNECIMENTO E INSTALAÇÃO DE REDE PARA QUADRA ESPORTIVA</t>
  </si>
  <si>
    <t>REDE QUADRA</t>
  </si>
  <si>
    <t>CONJUNTO (DUAS GOLEIRAS) PARA FUTSAL COM TRAVES OFICIAIS DE 3,00 X 2,00 M EM TUBO DE ACO GALVANIZADO 3" COM REQUADRO EM TUBO DE 1", PINTURA EM PRIMER COM TINTA ESMALTE SINTETICO E REDES DE POLIETILENO FIO 4 MM</t>
  </si>
  <si>
    <t>ITEM SINAPI REFERÊNCIA: 96624</t>
  </si>
  <si>
    <t>Unid.</t>
  </si>
  <si>
    <t>INSTALAÇÕES HIDRÁULICAS</t>
  </si>
  <si>
    <t>01</t>
  </si>
  <si>
    <t>02</t>
  </si>
  <si>
    <t>04</t>
  </si>
  <si>
    <t>97084</t>
  </si>
  <si>
    <t>COMPACTAÇÃO MECÂNICA DE SOLO PARA EXECUÇÃO DE RADIER, COM COMPACTADOR DE SOLOS TIPO PLACA VIBRATÓRIA. AF_09/2017</t>
  </si>
  <si>
    <t>LASTRO COM MATERIAL GRANULAR (PEDRA BRITADA N.0)</t>
  </si>
  <si>
    <t>LASTRO COM MATERIAL GRANULAR (PEDRA BRITADA N.1)</t>
  </si>
  <si>
    <t>96624</t>
  </si>
  <si>
    <t>LASTRO COM MATERIAL GRANULAR (PEDRA BRITADA N.2), APLICADO EM PISOS OULAJES SOBRE SOLO, ESPESSURA DE *10 CM*. AF_08/2017</t>
  </si>
  <si>
    <t>13</t>
  </si>
  <si>
    <t>14</t>
  </si>
  <si>
    <t>PEDRA BRITADA N. 0, OU PEDRISCO (4,8 A 9,5 MM) POSTO PEDREIRA/FORNECEDOR, SEM FRETE</t>
  </si>
  <si>
    <t>4721</t>
  </si>
  <si>
    <t xml:space="preserve">PEDRA BRITADA N. 1 (9,5 a 19 MM) POSTO PEDREIRA/FORNECEDOR, SEM FRETE </t>
  </si>
  <si>
    <t xml:space="preserve"> PEDREIRO COM ENCARGOS COMPLEMENTARES</t>
  </si>
  <si>
    <t xml:space="preserve"> PLACA VIBRATÓRIA REVERSÍVEL COM MOTOR 4 TEMPOS A GASOLINA, FORÇA CENTRÍFUGA DE 25 KN (2500 KGF), POTÊNCIA 5,5 CV - CHI DIURNO. AF_08/2015</t>
  </si>
  <si>
    <t>COMPOSIÇÃO 13</t>
  </si>
  <si>
    <t>COMPOSIÇÃO 14</t>
  </si>
  <si>
    <t>96525</t>
  </si>
  <si>
    <t>ESCAVAÇÃO MECANIZADA PARA VIGA BALDRAME, COM PREVISÃO DE FÔRMA, COM MINI-ESCAVADEIRA. AF_06/2017</t>
  </si>
  <si>
    <t>96542</t>
  </si>
  <si>
    <t>FABRICAÇÃO, MONTAGEM E DESMONTAGEM DE FÔRMA PARA VIGA BALDRAME, EM CHAPA DE MADEIRA COMPENSADA RESINADA, E=17 MM, 4 UTILIZAÇÕES. AF_06/2017</t>
  </si>
  <si>
    <t>96543</t>
  </si>
  <si>
    <t>ARMAÇÃO DE BLOCO, VIGA BALDRAME E SAPATA UTILIZANDO AÇO CA-60 DE 5 MM - MONTAGEM. AF_06/2017</t>
  </si>
  <si>
    <t>96547</t>
  </si>
  <si>
    <t>viga baldrame 0,15x0,4</t>
  </si>
  <si>
    <t>espaço de atividade física e lazer</t>
  </si>
  <si>
    <t>ARMAÇÃO DE BLOCO, VIGA BALDRAME OU SAPATA UTILIZANDO AÇO CA-50 DE 10 MM - MONTAGEM. AF_06/2017</t>
  </si>
  <si>
    <t>93372</t>
  </si>
  <si>
    <t>REATERRO MECANIZADO DE VALA COM ESCAVADEIRA HIDRÁULICA (CAPACIDADE DA CAÇAMBA: 0,8 M³ / POTÊNCIA: 111 HP), LARGURA ATÉ 1,5 M, PROFUNDIDADE DE 4,5 A 6,0 M, COM SOLO DE 1ª CATEGORIA EM LOCAIS COM BAIXO NÍVEL DE INTERFERÊNCIA. AF_04/2016</t>
  </si>
  <si>
    <t>2.2</t>
  </si>
  <si>
    <t>29x14</t>
  </si>
  <si>
    <t>PÓ DE PEDRA</t>
  </si>
  <si>
    <t>LADO 2</t>
  </si>
  <si>
    <t xml:space="preserve">LADO 1 </t>
  </si>
  <si>
    <t>2.1</t>
  </si>
  <si>
    <t>2.3</t>
  </si>
  <si>
    <t>4.7</t>
  </si>
  <si>
    <t>4.8</t>
  </si>
  <si>
    <t>4.9</t>
  </si>
  <si>
    <t>4.10</t>
  </si>
  <si>
    <t>4.11</t>
  </si>
  <si>
    <t>4.16</t>
  </si>
  <si>
    <t>4.17</t>
  </si>
  <si>
    <t>4.18</t>
  </si>
  <si>
    <t>4.19</t>
  </si>
  <si>
    <t>4.20</t>
  </si>
  <si>
    <t>6.5</t>
  </si>
  <si>
    <t>6.6</t>
  </si>
  <si>
    <t>6.7</t>
  </si>
  <si>
    <t>ESPAÇO DE ATIVIDADE FÍSICA E LAZER DA EMEI DARCI RIBEIRO</t>
  </si>
  <si>
    <t>CONSTRUÇÃO DO ESPAÇO DE ATIVIDADE FÍSICA E LAZER DA EMEI DARCI RIBEIRO</t>
  </si>
  <si>
    <t>88243</t>
  </si>
  <si>
    <t>AJUDANTE ESPECIALIZADO COM ENCARGOS COMPLEMENTARES</t>
  </si>
  <si>
    <t>90586</t>
  </si>
  <si>
    <t>90587</t>
  </si>
  <si>
    <t>VIBRADOR DE IMERSÃO, DIÂMETRO DE PONTEIRA 45MM, MOTOR ELÉTRICO TRIFÁSICO POTÊNCIA DE 2 CV - CHP DIURNO. AF_06/2015</t>
  </si>
  <si>
    <t>VIBRADOR DE IMERSÃO, DIÂMETRO DE PONTEIRA 45MM, MOTOR ELÉTRICO TRIFÁSICO POTÊNCIA DE 2 CV - CHI DIURNO. AF_06/2015</t>
  </si>
  <si>
    <t>1524</t>
  </si>
  <si>
    <t xml:space="preserve">CONCRETO USINADO BOMBEAVEL, CLASSE DE RESISTENCIA C20, COM BRITA 0 E 1, SLUMP = </t>
  </si>
  <si>
    <t>COMPOSIÇÃO 15</t>
  </si>
  <si>
    <t>15</t>
  </si>
  <si>
    <t xml:space="preserve">CONCRETAGEM DE VIGAS BALDRAMES, FCK 20 MPA, COM USO DE BOMBA LANÇAMENTO, ADENSAMENTO E ACABAMENTO. </t>
  </si>
  <si>
    <t>PLANTIO DE GRAMA</t>
  </si>
  <si>
    <t>COMPRIMENTO (m)</t>
  </si>
  <si>
    <t>ALTURA (m)</t>
  </si>
  <si>
    <t>ÁREA (m)</t>
  </si>
  <si>
    <t>PORTÃO (m)</t>
  </si>
  <si>
    <t>ÁRAE TOTAL (m)</t>
  </si>
  <si>
    <t>COBERTURA (m²)</t>
  </si>
  <si>
    <t>PERÍMETRO (m)</t>
  </si>
  <si>
    <t>ÁREA TOTAL (m²)</t>
  </si>
  <si>
    <t>ÁREA (m²)</t>
  </si>
  <si>
    <t>O que a Ivete passou:</t>
  </si>
  <si>
    <t>41196</t>
  </si>
  <si>
    <t>POSTE DE CONCRETO ARMADO DE SECAO DUPLO T, EXTENSAO DE 9,00 M, RESISTENCIA DE 150 DAN, TIPO D</t>
  </si>
  <si>
    <t>3777</t>
  </si>
  <si>
    <t>91277</t>
  </si>
  <si>
    <t>91278</t>
  </si>
  <si>
    <t>4720</t>
  </si>
  <si>
    <t>97096</t>
  </si>
  <si>
    <t>CONCRETAGEM DE RADIER, PISO DE CONCRETO OU LAJE SOBRE SOLO, FCK 30 MPA - LANÇAMENTO, ADENSAMENTO E ACABAMENTO. AF_09/2021</t>
  </si>
  <si>
    <t>SINAPI DATA BASE - 11/2021 - Sem Desoneração</t>
  </si>
  <si>
    <t xml:space="preserve"> DATA DE PREÇO : 11/2021</t>
  </si>
  <si>
    <t>DATA REFERENCIA TÉCNICA: 10/01/2022</t>
  </si>
  <si>
    <t>Taquari, Janeiro de 2022</t>
  </si>
  <si>
    <t>Eng Sérgio Vinícius Noschang - CREA RS152282</t>
  </si>
</sst>
</file>

<file path=xl/styles.xml><?xml version="1.0" encoding="utf-8"?>
<styleSheet xmlns="http://schemas.openxmlformats.org/spreadsheetml/2006/main">
  <numFmts count="13">
    <numFmt numFmtId="43" formatCode="_-* #,##0.00_-;\-* #,##0.00_-;_-* &quot;-&quot;??_-;_-@_-"/>
    <numFmt numFmtId="164" formatCode="_-* #,##0.00_-;\-* #,##0.00_-;_-* \-??_-;_-@_-"/>
    <numFmt numFmtId="165" formatCode="_(* #,##0.00_);_(* \(#,##0.00\);_(* \-??_);_(@_)"/>
    <numFmt numFmtId="167" formatCode="0.00\ &quot;KG/m²&quot;"/>
    <numFmt numFmtId="168" formatCode="0.00\ &quot;m&quot;"/>
    <numFmt numFmtId="169" formatCode="0.00\ &quot;m²&quot;"/>
    <numFmt numFmtId="170" formatCode="0\ &quot;UN&quot;"/>
    <numFmt numFmtId="171" formatCode="0\ &quot;KG&quot;"/>
    <numFmt numFmtId="172" formatCode="0.00\ &quot;m³&quot;"/>
    <numFmt numFmtId="173" formatCode="0.00\ &quot;KG&quot;"/>
    <numFmt numFmtId="174" formatCode="_(* #,##0.0000000_);_(* \(#,##0.0000000\);_(* &quot;-&quot;??_);_(@_)"/>
    <numFmt numFmtId="175" formatCode="_(* #,##0.00_);_(* \(#,##0.00\);_(* &quot;-&quot;??_);_(@_)"/>
    <numFmt numFmtId="176" formatCode="0.000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sz val="15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31"/>
        <bgColor indexed="42"/>
      </patternFill>
    </fill>
    <fill>
      <patternFill patternType="solid">
        <fgColor indexed="23"/>
        <bgColor indexed="55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55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3"/>
      </bottom>
      <diagonal/>
    </border>
    <border>
      <left/>
      <right style="thin">
        <color indexed="64"/>
      </right>
      <top/>
      <bottom style="thick">
        <color theme="3"/>
      </bottom>
      <diagonal/>
    </border>
    <border>
      <left style="thin">
        <color indexed="64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n">
        <color indexed="64"/>
      </right>
      <top style="thick">
        <color theme="3"/>
      </top>
      <bottom style="thick">
        <color theme="3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theme="3"/>
      </top>
      <bottom/>
      <diagonal/>
    </border>
    <border>
      <left/>
      <right style="thin">
        <color indexed="64"/>
      </right>
      <top style="thick">
        <color theme="3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/>
      <top style="thin">
        <color theme="0" tint="-0.1499679555650502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/>
      <top style="thick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auto="1"/>
      </right>
      <top style="thin">
        <color auto="1"/>
      </top>
      <bottom/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theme="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2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8" fillId="3" borderId="1" applyNumberFormat="0" applyAlignment="0" applyProtection="0"/>
    <xf numFmtId="0" fontId="1" fillId="0" borderId="0"/>
    <xf numFmtId="0" fontId="2" fillId="0" borderId="0"/>
    <xf numFmtId="0" fontId="1" fillId="5" borderId="4" applyNumberFormat="0" applyAlignment="0" applyProtection="0"/>
    <xf numFmtId="9" fontId="1" fillId="0" borderId="0" applyFill="0" applyBorder="0" applyAlignment="0" applyProtection="0"/>
    <xf numFmtId="0" fontId="9" fillId="11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9" applyNumberFormat="0" applyFill="0" applyAlignment="0" applyProtection="0"/>
    <xf numFmtId="164" fontId="1" fillId="0" borderId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2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8" fillId="3" borderId="1" applyNumberFormat="0" applyAlignment="0" applyProtection="0"/>
    <xf numFmtId="0" fontId="1" fillId="0" borderId="0"/>
    <xf numFmtId="0" fontId="1" fillId="5" borderId="4" applyNumberFormat="0" applyAlignment="0" applyProtection="0"/>
    <xf numFmtId="9" fontId="1" fillId="0" borderId="0" applyFill="0" applyBorder="0" applyAlignment="0" applyProtection="0"/>
    <xf numFmtId="0" fontId="9" fillId="11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2" fillId="0" borderId="9" applyNumberFormat="0" applyFill="0" applyAlignment="0" applyProtection="0"/>
    <xf numFmtId="165" fontId="1" fillId="0" borderId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2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8" fillId="3" borderId="1" applyNumberFormat="0" applyAlignment="0" applyProtection="0"/>
    <xf numFmtId="0" fontId="1" fillId="0" borderId="0"/>
    <xf numFmtId="0" fontId="1" fillId="5" borderId="4" applyNumberFormat="0" applyAlignment="0" applyProtection="0"/>
    <xf numFmtId="9" fontId="1" fillId="0" borderId="0" applyFill="0" applyBorder="0" applyAlignment="0" applyProtection="0"/>
    <xf numFmtId="0" fontId="9" fillId="11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" fillId="0" borderId="0" applyFont="0" applyFill="0" applyBorder="0" applyAlignment="0" applyProtection="0"/>
    <xf numFmtId="0" fontId="26" fillId="0" borderId="0"/>
  </cellStyleXfs>
  <cellXfs count="410">
    <xf numFmtId="0" fontId="0" fillId="0" borderId="0" xfId="0"/>
    <xf numFmtId="0" fontId="0" fillId="0" borderId="0" xfId="0" applyAlignment="1">
      <alignment horizontal="left"/>
    </xf>
    <xf numFmtId="0" fontId="17" fillId="0" borderId="12" xfId="44" applyFont="1" applyBorder="1" applyAlignment="1" applyProtection="1">
      <alignment horizontal="center" vertical="center" wrapText="1"/>
    </xf>
    <xf numFmtId="0" fontId="17" fillId="0" borderId="13" xfId="44" applyFont="1" applyBorder="1" applyAlignment="1" applyProtection="1">
      <alignment horizontal="center" vertical="center" wrapText="1"/>
    </xf>
    <xf numFmtId="0" fontId="17" fillId="0" borderId="14" xfId="44" applyFont="1" applyBorder="1" applyAlignment="1" applyProtection="1">
      <alignment horizontal="center" vertical="center" wrapText="1"/>
    </xf>
    <xf numFmtId="4" fontId="0" fillId="0" borderId="0" xfId="0" applyNumberFormat="1"/>
    <xf numFmtId="4" fontId="17" fillId="0" borderId="13" xfId="44" applyNumberFormat="1" applyFont="1" applyBorder="1" applyAlignment="1" applyProtection="1">
      <alignment horizontal="center" vertical="center" wrapText="1"/>
    </xf>
    <xf numFmtId="165" fontId="17" fillId="17" borderId="19" xfId="85" applyNumberFormat="1" applyFont="1" applyFill="1" applyBorder="1" applyAlignment="1" applyProtection="1">
      <alignment horizontal="center" vertical="center" shrinkToFit="1"/>
    </xf>
    <xf numFmtId="4" fontId="0" fillId="0" borderId="0" xfId="0" applyNumberFormat="1" applyAlignment="1">
      <alignment horizontal="center" vertical="center"/>
    </xf>
    <xf numFmtId="0" fontId="1" fillId="19" borderId="20" xfId="44" applyNumberFormat="1" applyFont="1" applyFill="1" applyBorder="1" applyAlignment="1">
      <alignment vertical="center" wrapText="1" shrinkToFit="1"/>
    </xf>
    <xf numFmtId="4" fontId="17" fillId="19" borderId="21" xfId="85" applyNumberFormat="1" applyFont="1" applyFill="1" applyBorder="1" applyAlignment="1" applyProtection="1">
      <alignment horizontal="center" vertical="center" shrinkToFit="1"/>
    </xf>
    <xf numFmtId="165" fontId="17" fillId="19" borderId="22" xfId="85" applyNumberFormat="1" applyFont="1" applyFill="1" applyBorder="1" applyAlignment="1" applyProtection="1">
      <alignment horizontal="left" vertical="center" shrinkToFit="1"/>
    </xf>
    <xf numFmtId="0" fontId="1" fillId="0" borderId="16" xfId="44" applyNumberFormat="1" applyFont="1" applyFill="1" applyBorder="1" applyAlignment="1">
      <alignment vertical="center" wrapText="1" shrinkToFit="1"/>
    </xf>
    <xf numFmtId="49" fontId="1" fillId="16" borderId="18" xfId="44" applyNumberFormat="1" applyFont="1" applyFill="1" applyBorder="1" applyAlignment="1" applyProtection="1">
      <alignment horizontal="center" vertical="center" wrapText="1"/>
      <protection locked="0"/>
    </xf>
    <xf numFmtId="49" fontId="1" fillId="6" borderId="18" xfId="44" applyNumberFormat="1" applyFont="1" applyFill="1" applyBorder="1" applyAlignment="1" applyProtection="1">
      <alignment horizontal="center" vertical="center" wrapText="1"/>
      <protection locked="0"/>
    </xf>
    <xf numFmtId="0" fontId="1" fillId="6" borderId="18" xfId="44" applyNumberFormat="1" applyFont="1" applyFill="1" applyBorder="1" applyAlignment="1" applyProtection="1">
      <alignment horizontal="left" vertical="center" wrapText="1"/>
      <protection locked="0"/>
    </xf>
    <xf numFmtId="165" fontId="1" fillId="6" borderId="17" xfId="85" applyFont="1" applyFill="1" applyBorder="1" applyAlignment="1" applyProtection="1">
      <alignment vertical="center" wrapText="1"/>
      <protection locked="0"/>
    </xf>
    <xf numFmtId="0" fontId="1" fillId="19" borderId="16" xfId="44" applyNumberFormat="1" applyFont="1" applyFill="1" applyBorder="1" applyAlignment="1">
      <alignment vertical="center" wrapText="1" shrinkToFit="1"/>
    </xf>
    <xf numFmtId="4" fontId="1" fillId="19" borderId="18" xfId="85" applyNumberFormat="1" applyFont="1" applyFill="1" applyBorder="1" applyAlignment="1" applyProtection="1">
      <alignment horizontal="center" vertical="center" shrinkToFit="1"/>
    </xf>
    <xf numFmtId="165" fontId="17" fillId="19" borderId="17" xfId="85" applyNumberFormat="1" applyFont="1" applyFill="1" applyBorder="1" applyAlignment="1" applyProtection="1">
      <alignment horizontal="left" vertical="center" shrinkToFit="1"/>
    </xf>
    <xf numFmtId="4" fontId="17" fillId="19" borderId="11" xfId="85" applyNumberFormat="1" applyFont="1" applyFill="1" applyBorder="1" applyAlignment="1" applyProtection="1">
      <alignment horizontal="center" vertical="center" shrinkToFit="1"/>
    </xf>
    <xf numFmtId="4" fontId="17" fillId="17" borderId="10" xfId="85" applyNumberFormat="1" applyFont="1" applyFill="1" applyBorder="1" applyAlignment="1" applyProtection="1">
      <alignment horizontal="center" vertical="center" shrinkToFit="1"/>
    </xf>
    <xf numFmtId="0" fontId="0" fillId="0" borderId="23" xfId="0" applyBorder="1"/>
    <xf numFmtId="1" fontId="0" fillId="0" borderId="0" xfId="0" applyNumberFormat="1"/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0" borderId="25" xfId="0" applyFill="1" applyBorder="1" applyAlignment="1">
      <alignment horizontal="center" vertical="center" wrapText="1"/>
    </xf>
    <xf numFmtId="0" fontId="0" fillId="20" borderId="16" xfId="0" applyFill="1" applyBorder="1" applyAlignment="1">
      <alignment horizontal="center" vertical="center"/>
    </xf>
    <xf numFmtId="172" fontId="0" fillId="20" borderId="17" xfId="0" applyNumberFormat="1" applyFill="1" applyBorder="1" applyAlignment="1">
      <alignment horizontal="center" vertical="center"/>
    </xf>
    <xf numFmtId="168" fontId="0" fillId="20" borderId="24" xfId="0" applyNumberFormat="1" applyFill="1" applyBorder="1" applyAlignment="1">
      <alignment horizontal="center"/>
    </xf>
    <xf numFmtId="168" fontId="0" fillId="0" borderId="0" xfId="0" applyNumberFormat="1" applyFill="1" applyBorder="1" applyAlignment="1">
      <alignment horizontal="right"/>
    </xf>
    <xf numFmtId="0" fontId="0" fillId="0" borderId="23" xfId="0" applyBorder="1" applyAlignment="1">
      <alignment horizontal="left" vertical="center"/>
    </xf>
    <xf numFmtId="170" fontId="0" fillId="0" borderId="23" xfId="0" applyNumberFormat="1" applyBorder="1" applyAlignment="1">
      <alignment horizontal="center" vertical="center"/>
    </xf>
    <xf numFmtId="168" fontId="0" fillId="20" borderId="23" xfId="0" applyNumberFormat="1" applyFill="1" applyBorder="1" applyAlignment="1">
      <alignment horizontal="center"/>
    </xf>
    <xf numFmtId="173" fontId="0" fillId="0" borderId="23" xfId="0" applyNumberFormat="1" applyBorder="1" applyAlignment="1">
      <alignment horizontal="center" vertical="center"/>
    </xf>
    <xf numFmtId="168" fontId="0" fillId="0" borderId="23" xfId="0" applyNumberFormat="1" applyBorder="1" applyAlignment="1">
      <alignment horizontal="center" vertical="center"/>
    </xf>
    <xf numFmtId="168" fontId="0" fillId="20" borderId="24" xfId="0" applyNumberFormat="1" applyFill="1" applyBorder="1" applyAlignment="1">
      <alignment horizontal="center" vertical="center"/>
    </xf>
    <xf numFmtId="169" fontId="0" fillId="0" borderId="23" xfId="0" applyNumberFormat="1" applyBorder="1" applyAlignment="1">
      <alignment horizontal="center" vertical="center"/>
    </xf>
    <xf numFmtId="0" fontId="25" fillId="0" borderId="23" xfId="0" applyFont="1" applyBorder="1" applyAlignment="1">
      <alignment horizontal="center"/>
    </xf>
    <xf numFmtId="0" fontId="27" fillId="0" borderId="0" xfId="0" applyFont="1"/>
    <xf numFmtId="0" fontId="28" fillId="21" borderId="0" xfId="0" applyFont="1" applyFill="1" applyBorder="1"/>
    <xf numFmtId="0" fontId="28" fillId="21" borderId="0" xfId="0" applyFont="1" applyFill="1" applyBorder="1" applyAlignment="1">
      <alignment horizontal="center"/>
    </xf>
    <xf numFmtId="0" fontId="28" fillId="21" borderId="32" xfId="0" applyFont="1" applyFill="1" applyBorder="1"/>
    <xf numFmtId="0" fontId="30" fillId="0" borderId="28" xfId="0" applyFont="1" applyBorder="1" applyAlignment="1">
      <alignment horizontal="center" vertical="center" wrapText="1"/>
    </xf>
    <xf numFmtId="0" fontId="20" fillId="19" borderId="33" xfId="0" applyFont="1" applyFill="1" applyBorder="1" applyAlignment="1">
      <alignment vertical="center"/>
    </xf>
    <xf numFmtId="0" fontId="20" fillId="19" borderId="0" xfId="0" applyFont="1" applyFill="1" applyBorder="1" applyAlignment="1">
      <alignment vertical="center"/>
    </xf>
    <xf numFmtId="2" fontId="20" fillId="19" borderId="33" xfId="0" applyNumberFormat="1" applyFont="1" applyFill="1" applyBorder="1" applyAlignment="1">
      <alignment vertical="center"/>
    </xf>
    <xf numFmtId="0" fontId="0" fillId="20" borderId="39" xfId="0" applyFill="1" applyBorder="1" applyAlignment="1">
      <alignment horizontal="center" vertical="center"/>
    </xf>
    <xf numFmtId="169" fontId="0" fillId="20" borderId="40" xfId="0" applyNumberFormat="1" applyFill="1" applyBorder="1" applyAlignment="1">
      <alignment horizontal="right"/>
    </xf>
    <xf numFmtId="0" fontId="0" fillId="0" borderId="41" xfId="0" applyBorder="1" applyAlignment="1">
      <alignment horizontal="center"/>
    </xf>
    <xf numFmtId="167" fontId="0" fillId="20" borderId="40" xfId="0" applyNumberFormat="1" applyFill="1" applyBorder="1" applyAlignment="1">
      <alignment horizontal="right"/>
    </xf>
    <xf numFmtId="0" fontId="0" fillId="20" borderId="39" xfId="0" applyFill="1" applyBorder="1" applyAlignment="1">
      <alignment horizontal="center" vertical="center" wrapText="1"/>
    </xf>
    <xf numFmtId="0" fontId="0" fillId="20" borderId="39" xfId="0" applyFill="1" applyBorder="1"/>
    <xf numFmtId="169" fontId="0" fillId="20" borderId="40" xfId="0" applyNumberFormat="1" applyFill="1" applyBorder="1"/>
    <xf numFmtId="0" fontId="0" fillId="20" borderId="39" xfId="0" applyFill="1" applyBorder="1" applyAlignment="1">
      <alignment wrapText="1"/>
    </xf>
    <xf numFmtId="0" fontId="0" fillId="20" borderId="41" xfId="0" applyFill="1" applyBorder="1" applyAlignment="1">
      <alignment wrapText="1"/>
    </xf>
    <xf numFmtId="169" fontId="0" fillId="20" borderId="42" xfId="0" applyNumberFormat="1" applyFill="1" applyBorder="1"/>
    <xf numFmtId="0" fontId="0" fillId="20" borderId="43" xfId="0" applyFill="1" applyBorder="1"/>
    <xf numFmtId="169" fontId="0" fillId="20" borderId="44" xfId="0" applyNumberFormat="1" applyFill="1" applyBorder="1"/>
    <xf numFmtId="10" fontId="28" fillId="21" borderId="0" xfId="0" applyNumberFormat="1" applyFont="1" applyFill="1" applyBorder="1"/>
    <xf numFmtId="0" fontId="20" fillId="21" borderId="0" xfId="0" applyFont="1" applyFill="1" applyBorder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71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vertical="center" wrapText="1"/>
    </xf>
    <xf numFmtId="0" fontId="0" fillId="0" borderId="39" xfId="0" applyBorder="1"/>
    <xf numFmtId="0" fontId="0" fillId="0" borderId="41" xfId="0" applyBorder="1"/>
    <xf numFmtId="0" fontId="0" fillId="20" borderId="47" xfId="0" applyFill="1" applyBorder="1"/>
    <xf numFmtId="0" fontId="0" fillId="20" borderId="41" xfId="0" applyFill="1" applyBorder="1"/>
    <xf numFmtId="0" fontId="0" fillId="20" borderId="48" xfId="0" applyFill="1" applyBorder="1"/>
    <xf numFmtId="0" fontId="0" fillId="20" borderId="11" xfId="0" applyFill="1" applyBorder="1"/>
    <xf numFmtId="172" fontId="0" fillId="20" borderId="42" xfId="0" applyNumberFormat="1" applyFill="1" applyBorder="1"/>
    <xf numFmtId="0" fontId="0" fillId="0" borderId="45" xfId="0" applyBorder="1"/>
    <xf numFmtId="172" fontId="0" fillId="0" borderId="46" xfId="0" applyNumberFormat="1" applyBorder="1"/>
    <xf numFmtId="172" fontId="0" fillId="0" borderId="40" xfId="0" applyNumberFormat="1" applyBorder="1"/>
    <xf numFmtId="172" fontId="0" fillId="0" borderId="42" xfId="0" applyNumberFormat="1" applyBorder="1"/>
    <xf numFmtId="0" fontId="33" fillId="21" borderId="52" xfId="0" applyFont="1" applyFill="1" applyBorder="1"/>
    <xf numFmtId="0" fontId="33" fillId="21" borderId="53" xfId="0" applyFont="1" applyFill="1" applyBorder="1" applyAlignment="1">
      <alignment horizontal="center"/>
    </xf>
    <xf numFmtId="0" fontId="33" fillId="21" borderId="54" xfId="0" applyFont="1" applyFill="1" applyBorder="1" applyAlignment="1">
      <alignment horizontal="center"/>
    </xf>
    <xf numFmtId="0" fontId="33" fillId="21" borderId="55" xfId="0" applyFont="1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20" borderId="57" xfId="0" applyFill="1" applyBorder="1"/>
    <xf numFmtId="0" fontId="0" fillId="20" borderId="58" xfId="0" applyFill="1" applyBorder="1"/>
    <xf numFmtId="43" fontId="0" fillId="0" borderId="0" xfId="0" applyNumberFormat="1"/>
    <xf numFmtId="4" fontId="0" fillId="0" borderId="67" xfId="0" applyNumberFormat="1" applyBorder="1" applyAlignment="1">
      <alignment horizontal="center" vertical="center"/>
    </xf>
    <xf numFmtId="0" fontId="20" fillId="21" borderId="73" xfId="0" applyFont="1" applyFill="1" applyBorder="1" applyAlignment="1">
      <alignment horizontal="center" vertical="center"/>
    </xf>
    <xf numFmtId="0" fontId="28" fillId="20" borderId="76" xfId="0" applyFont="1" applyFill="1" applyBorder="1" applyAlignment="1">
      <alignment horizontal="center" vertical="center"/>
    </xf>
    <xf numFmtId="0" fontId="27" fillId="0" borderId="26" xfId="0" applyFont="1" applyBorder="1"/>
    <xf numFmtId="0" fontId="0" fillId="0" borderId="0" xfId="0" applyFill="1" applyBorder="1"/>
    <xf numFmtId="0" fontId="0" fillId="0" borderId="0" xfId="0" applyFill="1"/>
    <xf numFmtId="173" fontId="0" fillId="21" borderId="42" xfId="0" applyNumberFormat="1" applyFill="1" applyBorder="1" applyAlignment="1">
      <alignment horizontal="right"/>
    </xf>
    <xf numFmtId="4" fontId="0" fillId="0" borderId="63" xfId="0" applyNumberForma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169" fontId="0" fillId="20" borderId="65" xfId="0" applyNumberFormat="1" applyFill="1" applyBorder="1"/>
    <xf numFmtId="0" fontId="0" fillId="0" borderId="65" xfId="0" applyBorder="1" applyAlignment="1">
      <alignment horizontal="center" vertical="center" wrapText="1"/>
    </xf>
    <xf numFmtId="172" fontId="0" fillId="0" borderId="65" xfId="0" applyNumberFormat="1" applyBorder="1"/>
    <xf numFmtId="0" fontId="0" fillId="0" borderId="65" xfId="0" applyBorder="1"/>
    <xf numFmtId="0" fontId="0" fillId="0" borderId="64" xfId="0" applyBorder="1"/>
    <xf numFmtId="172" fontId="0" fillId="0" borderId="68" xfId="0" applyNumberFormat="1" applyBorder="1"/>
    <xf numFmtId="43" fontId="27" fillId="0" borderId="0" xfId="0" applyNumberFormat="1" applyFont="1"/>
    <xf numFmtId="0" fontId="20" fillId="21" borderId="0" xfId="0" applyFont="1" applyFill="1" applyBorder="1"/>
    <xf numFmtId="0" fontId="19" fillId="20" borderId="0" xfId="0" applyFont="1" applyFill="1"/>
    <xf numFmtId="4" fontId="19" fillId="20" borderId="0" xfId="0" applyNumberFormat="1" applyFont="1" applyFill="1" applyAlignment="1">
      <alignment horizontal="center" vertical="center"/>
    </xf>
    <xf numFmtId="0" fontId="17" fillId="20" borderId="0" xfId="0" applyFont="1" applyFill="1"/>
    <xf numFmtId="0" fontId="22" fillId="20" borderId="0" xfId="0" applyFont="1" applyFill="1"/>
    <xf numFmtId="0" fontId="21" fillId="20" borderId="0" xfId="0" applyFont="1" applyFill="1"/>
    <xf numFmtId="10" fontId="17" fillId="20" borderId="0" xfId="0" applyNumberFormat="1" applyFont="1" applyFill="1"/>
    <xf numFmtId="0" fontId="19" fillId="20" borderId="0" xfId="0" applyFont="1" applyFill="1" applyAlignment="1">
      <alignment horizontal="center"/>
    </xf>
    <xf numFmtId="0" fontId="0" fillId="0" borderId="68" xfId="0" applyBorder="1"/>
    <xf numFmtId="0" fontId="19" fillId="21" borderId="0" xfId="0" applyFont="1" applyFill="1" applyBorder="1" applyAlignment="1">
      <alignment horizontal="left"/>
    </xf>
    <xf numFmtId="2" fontId="20" fillId="19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" fontId="17" fillId="0" borderId="77" xfId="44" applyNumberFormat="1" applyFont="1" applyBorder="1" applyAlignment="1" applyProtection="1">
      <alignment horizontal="center" vertical="center" wrapText="1"/>
    </xf>
    <xf numFmtId="4" fontId="17" fillId="17" borderId="78" xfId="85" applyNumberFormat="1" applyFont="1" applyFill="1" applyBorder="1" applyAlignment="1" applyProtection="1">
      <alignment horizontal="center" vertical="center" shrinkToFit="1"/>
    </xf>
    <xf numFmtId="4" fontId="17" fillId="19" borderId="79" xfId="85" applyNumberFormat="1" applyFont="1" applyFill="1" applyBorder="1" applyAlignment="1" applyProtection="1">
      <alignment horizontal="center" vertical="center" shrinkToFit="1"/>
    </xf>
    <xf numFmtId="0" fontId="0" fillId="26" borderId="80" xfId="0" applyFill="1" applyBorder="1" applyAlignment="1">
      <alignment horizontal="center" vertical="center"/>
    </xf>
    <xf numFmtId="0" fontId="0" fillId="26" borderId="81" xfId="0" applyFill="1" applyBorder="1" applyAlignment="1">
      <alignment horizontal="center" vertical="center"/>
    </xf>
    <xf numFmtId="0" fontId="0" fillId="26" borderId="82" xfId="0" applyFill="1" applyBorder="1" applyAlignment="1">
      <alignment horizontal="center" vertical="center"/>
    </xf>
    <xf numFmtId="0" fontId="0" fillId="26" borderId="83" xfId="0" applyFill="1" applyBorder="1" applyAlignment="1">
      <alignment horizontal="center" vertical="center"/>
    </xf>
    <xf numFmtId="0" fontId="0" fillId="0" borderId="0" xfId="0" applyAlignment="1"/>
    <xf numFmtId="0" fontId="0" fillId="24" borderId="59" xfId="0" applyFill="1" applyBorder="1" applyAlignment="1">
      <alignment horizontal="center" vertical="center"/>
    </xf>
    <xf numFmtId="0" fontId="0" fillId="24" borderId="61" xfId="0" applyFill="1" applyBorder="1" applyAlignment="1">
      <alignment horizontal="center" vertical="center" wrapText="1"/>
    </xf>
    <xf numFmtId="0" fontId="25" fillId="27" borderId="59" xfId="0" applyFont="1" applyFill="1" applyBorder="1" applyAlignment="1">
      <alignment horizontal="center"/>
    </xf>
    <xf numFmtId="0" fontId="25" fillId="27" borderId="60" xfId="0" applyFont="1" applyFill="1" applyBorder="1" applyAlignment="1">
      <alignment horizontal="center"/>
    </xf>
    <xf numFmtId="0" fontId="0" fillId="24" borderId="81" xfId="0" applyFill="1" applyBorder="1"/>
    <xf numFmtId="2" fontId="0" fillId="24" borderId="83" xfId="0" applyNumberFormat="1" applyFill="1" applyBorder="1"/>
    <xf numFmtId="0" fontId="0" fillId="20" borderId="80" xfId="0" applyFill="1" applyBorder="1"/>
    <xf numFmtId="0" fontId="0" fillId="20" borderId="82" xfId="0" applyFill="1" applyBorder="1"/>
    <xf numFmtId="0" fontId="0" fillId="20" borderId="84" xfId="0" applyFill="1" applyBorder="1"/>
    <xf numFmtId="168" fontId="0" fillId="20" borderId="85" xfId="0" applyNumberFormat="1" applyFill="1" applyBorder="1"/>
    <xf numFmtId="0" fontId="0" fillId="20" borderId="86" xfId="0" applyFill="1" applyBorder="1"/>
    <xf numFmtId="168" fontId="0" fillId="21" borderId="87" xfId="0" applyNumberFormat="1" applyFill="1" applyBorder="1"/>
    <xf numFmtId="0" fontId="0" fillId="20" borderId="88" xfId="0" applyFill="1" applyBorder="1"/>
    <xf numFmtId="168" fontId="0" fillId="20" borderId="89" xfId="0" applyNumberFormat="1" applyFill="1" applyBorder="1"/>
    <xf numFmtId="3" fontId="0" fillId="24" borderId="92" xfId="0" applyNumberFormat="1" applyFill="1" applyBorder="1" applyAlignment="1">
      <alignment horizontal="center"/>
    </xf>
    <xf numFmtId="3" fontId="0" fillId="24" borderId="92" xfId="0" applyNumberFormat="1" applyFill="1" applyBorder="1" applyAlignment="1">
      <alignment horizontal="center" vertical="center"/>
    </xf>
    <xf numFmtId="0" fontId="0" fillId="20" borderId="90" xfId="0" applyFill="1" applyBorder="1" applyAlignment="1">
      <alignment horizontal="center" vertical="center"/>
    </xf>
    <xf numFmtId="3" fontId="0" fillId="20" borderId="91" xfId="0" applyNumberFormat="1" applyFill="1" applyBorder="1" applyAlignment="1">
      <alignment horizontal="center" vertical="center"/>
    </xf>
    <xf numFmtId="0" fontId="0" fillId="20" borderId="91" xfId="0" applyFill="1" applyBorder="1" applyAlignment="1">
      <alignment horizontal="center" vertical="center"/>
    </xf>
    <xf numFmtId="0" fontId="0" fillId="20" borderId="59" xfId="0" applyFill="1" applyBorder="1" applyAlignment="1">
      <alignment horizontal="center" vertical="center" wrapText="1"/>
    </xf>
    <xf numFmtId="0" fontId="0" fillId="20" borderId="60" xfId="0" applyFill="1" applyBorder="1" applyAlignment="1">
      <alignment horizontal="center" vertical="center" wrapText="1"/>
    </xf>
    <xf numFmtId="0" fontId="0" fillId="20" borderId="90" xfId="0" applyFill="1" applyBorder="1" applyAlignment="1">
      <alignment horizontal="center"/>
    </xf>
    <xf numFmtId="3" fontId="0" fillId="20" borderId="91" xfId="0" applyNumberFormat="1" applyFill="1" applyBorder="1" applyAlignment="1">
      <alignment horizontal="center"/>
    </xf>
    <xf numFmtId="0" fontId="0" fillId="20" borderId="91" xfId="0" applyFill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24" borderId="94" xfId="0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3" fontId="0" fillId="0" borderId="0" xfId="0" applyNumberFormat="1" applyFill="1" applyBorder="1" applyAlignment="1">
      <alignment horizontal="center" vertical="center"/>
    </xf>
    <xf numFmtId="3" fontId="0" fillId="0" borderId="93" xfId="0" applyNumberFormat="1" applyFill="1" applyBorder="1" applyAlignment="1">
      <alignment horizontal="center" vertical="center"/>
    </xf>
    <xf numFmtId="0" fontId="0" fillId="20" borderId="81" xfId="0" applyFill="1" applyBorder="1"/>
    <xf numFmtId="0" fontId="0" fillId="24" borderId="0" xfId="0" applyFill="1"/>
    <xf numFmtId="0" fontId="0" fillId="0" borderId="0" xfId="0" applyAlignment="1">
      <alignment horizontal="center" vertical="center"/>
    </xf>
    <xf numFmtId="0" fontId="0" fillId="20" borderId="96" xfId="0" applyFill="1" applyBorder="1" applyAlignment="1">
      <alignment horizontal="center" vertical="center"/>
    </xf>
    <xf numFmtId="0" fontId="0" fillId="20" borderId="96" xfId="0" applyFill="1" applyBorder="1"/>
    <xf numFmtId="0" fontId="0" fillId="20" borderId="95" xfId="0" applyFill="1" applyBorder="1" applyAlignment="1">
      <alignment horizontal="left"/>
    </xf>
    <xf numFmtId="0" fontId="0" fillId="20" borderId="97" xfId="0" applyFill="1" applyBorder="1" applyAlignment="1">
      <alignment horizontal="center" vertical="center"/>
    </xf>
    <xf numFmtId="0" fontId="0" fillId="20" borderId="95" xfId="0" applyFill="1" applyBorder="1"/>
    <xf numFmtId="0" fontId="0" fillId="21" borderId="96" xfId="0" applyFill="1" applyBorder="1" applyAlignment="1">
      <alignment horizontal="center" vertical="center"/>
    </xf>
    <xf numFmtId="0" fontId="34" fillId="21" borderId="96" xfId="0" applyFont="1" applyFill="1" applyBorder="1" applyAlignment="1">
      <alignment horizontal="center" vertical="center"/>
    </xf>
    <xf numFmtId="0" fontId="0" fillId="21" borderId="96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25" fillId="0" borderId="97" xfId="0" applyFont="1" applyBorder="1" applyAlignment="1">
      <alignment horizontal="center" vertical="center"/>
    </xf>
    <xf numFmtId="0" fontId="25" fillId="21" borderId="97" xfId="0" applyFont="1" applyFill="1" applyBorder="1" applyAlignment="1">
      <alignment horizontal="center" vertical="center"/>
    </xf>
    <xf numFmtId="0" fontId="0" fillId="21" borderId="97" xfId="0" applyFill="1" applyBorder="1" applyAlignment="1">
      <alignment horizontal="center" vertical="center"/>
    </xf>
    <xf numFmtId="0" fontId="25" fillId="21" borderId="95" xfId="0" applyFont="1" applyFill="1" applyBorder="1" applyAlignment="1">
      <alignment horizontal="center" vertical="center"/>
    </xf>
    <xf numFmtId="0" fontId="0" fillId="21" borderId="95" xfId="0" applyFill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25" fillId="21" borderId="101" xfId="0" applyFont="1" applyFill="1" applyBorder="1" applyAlignment="1">
      <alignment horizontal="center" vertical="center"/>
    </xf>
    <xf numFmtId="0" fontId="0" fillId="21" borderId="102" xfId="0" applyFill="1" applyBorder="1" applyAlignment="1">
      <alignment horizontal="center" vertical="center"/>
    </xf>
    <xf numFmtId="0" fontId="25" fillId="0" borderId="102" xfId="0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5" fillId="21" borderId="102" xfId="0" applyFont="1" applyFill="1" applyBorder="1" applyAlignment="1">
      <alignment horizontal="center" vertical="center"/>
    </xf>
    <xf numFmtId="0" fontId="0" fillId="21" borderId="103" xfId="0" applyFill="1" applyBorder="1" applyAlignment="1">
      <alignment horizontal="center" vertical="center"/>
    </xf>
    <xf numFmtId="0" fontId="1" fillId="6" borderId="98" xfId="44" applyNumberFormat="1" applyFont="1" applyFill="1" applyBorder="1" applyAlignment="1" applyProtection="1">
      <alignment horizontal="center" vertical="center" wrapText="1"/>
      <protection locked="0"/>
    </xf>
    <xf numFmtId="0" fontId="21" fillId="2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165" fontId="35" fillId="25" borderId="104" xfId="85" applyNumberFormat="1" applyFont="1" applyFill="1" applyBorder="1" applyAlignment="1" applyProtection="1">
      <alignment horizontal="center" vertical="center" shrinkToFit="1"/>
    </xf>
    <xf numFmtId="4" fontId="33" fillId="19" borderId="96" xfId="0" applyNumberFormat="1" applyFont="1" applyFill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7" xfId="0" applyBorder="1"/>
    <xf numFmtId="2" fontId="0" fillId="0" borderId="97" xfId="0" applyNumberFormat="1" applyBorder="1"/>
    <xf numFmtId="0" fontId="0" fillId="0" borderId="95" xfId="0" applyBorder="1"/>
    <xf numFmtId="0" fontId="0" fillId="0" borderId="98" xfId="0" applyBorder="1"/>
    <xf numFmtId="2" fontId="0" fillId="19" borderId="97" xfId="0" applyNumberFormat="1" applyFill="1" applyBorder="1"/>
    <xf numFmtId="0" fontId="0" fillId="19" borderId="97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97" xfId="0" applyBorder="1" applyAlignment="1">
      <alignment horizontal="center" vertical="center" wrapText="1"/>
    </xf>
    <xf numFmtId="0" fontId="0" fillId="0" borderId="95" xfId="0" applyBorder="1" applyAlignment="1"/>
    <xf numFmtId="0" fontId="0" fillId="0" borderId="98" xfId="0" applyBorder="1" applyAlignment="1"/>
    <xf numFmtId="0" fontId="0" fillId="0" borderId="97" xfId="0" applyBorder="1" applyAlignment="1">
      <alignment wrapText="1"/>
    </xf>
    <xf numFmtId="0" fontId="0" fillId="19" borderId="9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5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Alignment="1">
      <alignment horizontal="right"/>
    </xf>
    <xf numFmtId="0" fontId="0" fillId="0" borderId="25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19" borderId="100" xfId="0" applyFill="1" applyBorder="1" applyAlignment="1">
      <alignment horizontal="center" vertical="center"/>
    </xf>
    <xf numFmtId="168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2" fontId="0" fillId="24" borderId="62" xfId="0" applyNumberFormat="1" applyFill="1" applyBorder="1" applyAlignment="1">
      <alignment horizontal="center" vertical="center"/>
    </xf>
    <xf numFmtId="169" fontId="0" fillId="24" borderId="60" xfId="0" applyNumberForma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Fill="1" applyBorder="1"/>
    <xf numFmtId="2" fontId="0" fillId="0" borderId="0" xfId="0" applyNumberFormat="1" applyAlignment="1">
      <alignment horizontal="center" vertical="center"/>
    </xf>
    <xf numFmtId="0" fontId="0" fillId="0" borderId="112" xfId="0" applyBorder="1" applyAlignment="1">
      <alignment horizontal="center"/>
    </xf>
    <xf numFmtId="0" fontId="0" fillId="0" borderId="113" xfId="0" applyBorder="1" applyAlignment="1">
      <alignment horizontal="center"/>
    </xf>
    <xf numFmtId="0" fontId="0" fillId="0" borderId="114" xfId="0" applyBorder="1" applyAlignment="1">
      <alignment horizontal="center"/>
    </xf>
    <xf numFmtId="0" fontId="0" fillId="20" borderId="80" xfId="0" applyFill="1" applyBorder="1" applyAlignment="1">
      <alignment horizontal="center"/>
    </xf>
    <xf numFmtId="0" fontId="0" fillId="20" borderId="97" xfId="0" applyFill="1" applyBorder="1" applyAlignment="1">
      <alignment horizontal="center"/>
    </xf>
    <xf numFmtId="0" fontId="0" fillId="20" borderId="115" xfId="0" applyFill="1" applyBorder="1" applyAlignment="1">
      <alignment horizontal="center"/>
    </xf>
    <xf numFmtId="0" fontId="0" fillId="20" borderId="116" xfId="0" applyFill="1" applyBorder="1" applyAlignment="1">
      <alignment horizontal="center"/>
    </xf>
    <xf numFmtId="2" fontId="0" fillId="0" borderId="45" xfId="0" applyNumberFormat="1" applyBorder="1"/>
    <xf numFmtId="2" fontId="0" fillId="0" borderId="84" xfId="0" applyNumberFormat="1" applyBorder="1"/>
    <xf numFmtId="2" fontId="0" fillId="0" borderId="86" xfId="0" applyNumberFormat="1" applyBorder="1"/>
    <xf numFmtId="4" fontId="1" fillId="19" borderId="63" xfId="85" applyNumberFormat="1" applyFont="1" applyFill="1" applyBorder="1" applyAlignment="1" applyProtection="1">
      <alignment horizontal="center" vertical="center" shrinkToFit="1"/>
    </xf>
    <xf numFmtId="4" fontId="0" fillId="19" borderId="67" xfId="0" applyNumberFormat="1" applyFill="1" applyBorder="1" applyAlignment="1">
      <alignment horizontal="center" vertical="center"/>
    </xf>
    <xf numFmtId="4" fontId="0" fillId="0" borderId="121" xfId="0" applyNumberFormat="1" applyBorder="1" applyAlignment="1">
      <alignment horizontal="center" vertical="center"/>
    </xf>
    <xf numFmtId="4" fontId="0" fillId="19" borderId="121" xfId="0" applyNumberFormat="1" applyFill="1" applyBorder="1" applyAlignment="1">
      <alignment horizontal="center" vertical="center"/>
    </xf>
    <xf numFmtId="4" fontId="17" fillId="0" borderId="122" xfId="44" applyNumberFormat="1" applyFont="1" applyBorder="1" applyAlignment="1" applyProtection="1">
      <alignment horizontal="center" vertical="center" wrapText="1"/>
    </xf>
    <xf numFmtId="4" fontId="17" fillId="17" borderId="123" xfId="85" applyNumberFormat="1" applyFont="1" applyFill="1" applyBorder="1" applyAlignment="1" applyProtection="1">
      <alignment horizontal="center" vertical="center" shrinkToFit="1"/>
    </xf>
    <xf numFmtId="4" fontId="1" fillId="19" borderId="79" xfId="85" applyNumberFormat="1" applyFont="1" applyFill="1" applyBorder="1" applyAlignment="1" applyProtection="1">
      <alignment horizontal="center" vertical="center" shrinkToFit="1"/>
    </xf>
    <xf numFmtId="4" fontId="0" fillId="0" borderId="124" xfId="0" applyNumberFormat="1" applyBorder="1" applyAlignment="1">
      <alignment horizontal="center" vertical="center"/>
    </xf>
    <xf numFmtId="4" fontId="0" fillId="19" borderId="125" xfId="0" applyNumberFormat="1" applyFill="1" applyBorder="1" applyAlignment="1">
      <alignment horizontal="center" vertical="center"/>
    </xf>
    <xf numFmtId="4" fontId="22" fillId="20" borderId="0" xfId="0" applyNumberFormat="1" applyFont="1" applyFill="1" applyAlignment="1">
      <alignment horizontal="center" vertical="center"/>
    </xf>
    <xf numFmtId="4" fontId="21" fillId="20" borderId="0" xfId="0" applyNumberFormat="1" applyFont="1" applyFill="1" applyAlignment="1">
      <alignment horizontal="center" vertical="center"/>
    </xf>
    <xf numFmtId="4" fontId="17" fillId="20" borderId="0" xfId="0" applyNumberFormat="1" applyFont="1" applyFill="1" applyAlignment="1">
      <alignment horizontal="center" vertical="center"/>
    </xf>
    <xf numFmtId="4" fontId="0" fillId="0" borderId="120" xfId="0" applyNumberForma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10" fontId="17" fillId="20" borderId="0" xfId="0" applyNumberFormat="1" applyFont="1" applyFill="1" applyAlignment="1">
      <alignment horizontal="center"/>
    </xf>
    <xf numFmtId="0" fontId="20" fillId="19" borderId="33" xfId="0" applyFont="1" applyFill="1" applyBorder="1" applyAlignment="1">
      <alignment horizontal="left" vertical="center"/>
    </xf>
    <xf numFmtId="0" fontId="20" fillId="19" borderId="0" xfId="0" applyFont="1" applyFill="1" applyBorder="1" applyAlignment="1">
      <alignment horizontal="left" vertical="center"/>
    </xf>
    <xf numFmtId="0" fontId="20" fillId="19" borderId="33" xfId="0" applyFont="1" applyFill="1" applyBorder="1" applyAlignment="1">
      <alignment horizontal="center" vertical="center"/>
    </xf>
    <xf numFmtId="0" fontId="20" fillId="21" borderId="26" xfId="0" applyFont="1" applyFill="1" applyBorder="1" applyAlignment="1">
      <alignment horizontal="center" vertical="center"/>
    </xf>
    <xf numFmtId="49" fontId="1" fillId="16" borderId="127" xfId="44" applyNumberFormat="1" applyFont="1" applyFill="1" applyBorder="1" applyAlignment="1" applyProtection="1">
      <alignment horizontal="center" vertical="center" wrapText="1"/>
      <protection locked="0"/>
    </xf>
    <xf numFmtId="0" fontId="1" fillId="6" borderId="130" xfId="44" applyNumberFormat="1" applyFont="1" applyFill="1" applyBorder="1" applyAlignment="1" applyProtection="1">
      <alignment horizontal="left" vertical="center" wrapText="1"/>
      <protection locked="0"/>
    </xf>
    <xf numFmtId="0" fontId="1" fillId="6" borderId="130" xfId="44" applyNumberFormat="1" applyFont="1" applyFill="1" applyBorder="1" applyAlignment="1" applyProtection="1">
      <alignment horizontal="center" vertical="center" wrapText="1"/>
      <protection locked="0"/>
    </xf>
    <xf numFmtId="0" fontId="27" fillId="0" borderId="130" xfId="0" applyFont="1" applyBorder="1" applyAlignment="1">
      <alignment horizontal="center" vertical="center"/>
    </xf>
    <xf numFmtId="2" fontId="28" fillId="6" borderId="130" xfId="4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" fontId="23" fillId="0" borderId="0" xfId="0" applyNumberFormat="1" applyFont="1" applyBorder="1"/>
    <xf numFmtId="0" fontId="0" fillId="0" borderId="132" xfId="0" applyBorder="1"/>
    <xf numFmtId="0" fontId="0" fillId="0" borderId="133" xfId="0" applyBorder="1"/>
    <xf numFmtId="168" fontId="0" fillId="20" borderId="65" xfId="0" applyNumberFormat="1" applyFill="1" applyBorder="1"/>
    <xf numFmtId="3" fontId="0" fillId="20" borderId="90" xfId="0" applyNumberFormat="1" applyFill="1" applyBorder="1" applyAlignment="1">
      <alignment horizontal="center" vertical="center"/>
    </xf>
    <xf numFmtId="4" fontId="0" fillId="0" borderId="96" xfId="0" applyNumberFormat="1" applyFill="1" applyBorder="1" applyAlignment="1">
      <alignment horizontal="center" vertical="center"/>
    </xf>
    <xf numFmtId="3" fontId="0" fillId="0" borderId="0" xfId="0" applyNumberFormat="1"/>
    <xf numFmtId="0" fontId="0" fillId="0" borderId="130" xfId="0" applyBorder="1" applyAlignment="1">
      <alignment horizontal="center" vertical="center"/>
    </xf>
    <xf numFmtId="0" fontId="0" fillId="0" borderId="130" xfId="0" applyBorder="1"/>
    <xf numFmtId="0" fontId="0" fillId="0" borderId="130" xfId="0" applyBorder="1" applyAlignment="1">
      <alignment horizontal="left" vertical="center"/>
    </xf>
    <xf numFmtId="176" fontId="0" fillId="0" borderId="130" xfId="0" applyNumberFormat="1" applyBorder="1"/>
    <xf numFmtId="0" fontId="0" fillId="0" borderId="130" xfId="0" applyFill="1" applyBorder="1"/>
    <xf numFmtId="2" fontId="0" fillId="0" borderId="130" xfId="0" applyNumberFormat="1" applyFill="1" applyBorder="1"/>
    <xf numFmtId="2" fontId="27" fillId="0" borderId="130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0" fillId="20" borderId="109" xfId="0" applyFont="1" applyFill="1" applyBorder="1" applyAlignment="1">
      <alignment horizontal="center" wrapText="1"/>
    </xf>
    <xf numFmtId="175" fontId="20" fillId="19" borderId="99" xfId="127" applyNumberFormat="1" applyFont="1" applyFill="1" applyBorder="1" applyAlignment="1">
      <alignment vertical="center"/>
    </xf>
    <xf numFmtId="4" fontId="0" fillId="0" borderId="106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7" fillId="20" borderId="64" xfId="0" applyFont="1" applyFill="1" applyBorder="1" applyAlignment="1">
      <alignment horizontal="center" vertical="center"/>
    </xf>
    <xf numFmtId="0" fontId="17" fillId="20" borderId="68" xfId="0" applyFont="1" applyFill="1" applyBorder="1" applyAlignment="1">
      <alignment horizontal="center" vertical="center"/>
    </xf>
    <xf numFmtId="0" fontId="17" fillId="18" borderId="18" xfId="44" applyNumberFormat="1" applyFont="1" applyFill="1" applyBorder="1" applyAlignment="1" applyProtection="1">
      <alignment horizontal="left" vertical="center" wrapText="1"/>
      <protection locked="0"/>
    </xf>
    <xf numFmtId="0" fontId="23" fillId="0" borderId="12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18" fillId="20" borderId="0" xfId="0" applyFont="1" applyFill="1" applyAlignment="1">
      <alignment horizontal="center"/>
    </xf>
    <xf numFmtId="0" fontId="17" fillId="17" borderId="15" xfId="44" applyNumberFormat="1" applyFont="1" applyFill="1" applyBorder="1" applyAlignment="1" applyProtection="1">
      <alignment horizontal="left" vertical="center" wrapText="1"/>
    </xf>
    <xf numFmtId="0" fontId="17" fillId="17" borderId="10" xfId="44" applyNumberFormat="1" applyFont="1" applyFill="1" applyBorder="1" applyAlignment="1" applyProtection="1">
      <alignment horizontal="left" vertical="center" wrapText="1"/>
    </xf>
    <xf numFmtId="0" fontId="17" fillId="18" borderId="21" xfId="44" applyNumberFormat="1" applyFont="1" applyFill="1" applyBorder="1" applyAlignment="1" applyProtection="1">
      <alignment horizontal="left" vertical="center" wrapText="1"/>
      <protection locked="0"/>
    </xf>
    <xf numFmtId="0" fontId="17" fillId="18" borderId="11" xfId="44" applyNumberFormat="1" applyFont="1" applyFill="1" applyBorder="1" applyAlignment="1" applyProtection="1">
      <alignment horizontal="left" vertical="center" wrapText="1"/>
      <protection locked="0"/>
    </xf>
    <xf numFmtId="0" fontId="18" fillId="20" borderId="0" xfId="0" applyFont="1" applyFill="1" applyAlignment="1">
      <alignment horizontal="left"/>
    </xf>
    <xf numFmtId="0" fontId="17" fillId="20" borderId="0" xfId="0" applyFont="1" applyFill="1" applyAlignment="1">
      <alignment horizontal="left"/>
    </xf>
    <xf numFmtId="0" fontId="17" fillId="20" borderId="63" xfId="0" applyFont="1" applyFill="1" applyBorder="1" applyAlignment="1">
      <alignment horizontal="center" vertical="center"/>
    </xf>
    <xf numFmtId="0" fontId="20" fillId="19" borderId="72" xfId="0" applyFont="1" applyFill="1" applyBorder="1" applyAlignment="1">
      <alignment horizontal="center" vertical="center"/>
    </xf>
    <xf numFmtId="0" fontId="20" fillId="19" borderId="73" xfId="0" applyFont="1" applyFill="1" applyBorder="1" applyAlignment="1">
      <alignment horizontal="center" vertical="center"/>
    </xf>
    <xf numFmtId="0" fontId="20" fillId="19" borderId="33" xfId="0" applyFont="1" applyFill="1" applyBorder="1" applyAlignment="1">
      <alignment horizontal="left" vertical="center" wrapText="1"/>
    </xf>
    <xf numFmtId="0" fontId="20" fillId="19" borderId="0" xfId="0" applyFont="1" applyFill="1" applyBorder="1" applyAlignment="1">
      <alignment horizontal="left" vertical="center" wrapText="1"/>
    </xf>
    <xf numFmtId="175" fontId="29" fillId="19" borderId="34" xfId="0" applyNumberFormat="1" applyFont="1" applyFill="1" applyBorder="1" applyAlignment="1">
      <alignment horizontal="center" vertical="center"/>
    </xf>
    <xf numFmtId="175" fontId="29" fillId="19" borderId="32" xfId="0" applyNumberFormat="1" applyFont="1" applyFill="1" applyBorder="1" applyAlignment="1">
      <alignment horizontal="center" vertical="center"/>
    </xf>
    <xf numFmtId="0" fontId="20" fillId="22" borderId="131" xfId="0" applyFont="1" applyFill="1" applyBorder="1" applyAlignment="1">
      <alignment horizontal="center" vertical="center"/>
    </xf>
    <xf numFmtId="0" fontId="20" fillId="22" borderId="75" xfId="0" applyFont="1" applyFill="1" applyBorder="1" applyAlignment="1">
      <alignment horizontal="center" vertical="center"/>
    </xf>
    <xf numFmtId="0" fontId="20" fillId="22" borderId="129" xfId="0" applyFont="1" applyFill="1" applyBorder="1" applyAlignment="1">
      <alignment horizontal="center" vertical="center"/>
    </xf>
    <xf numFmtId="0" fontId="20" fillId="22" borderId="100" xfId="0" applyFont="1" applyFill="1" applyBorder="1" applyAlignment="1">
      <alignment horizontal="center" vertical="center"/>
    </xf>
    <xf numFmtId="174" fontId="20" fillId="22" borderId="129" xfId="127" applyNumberFormat="1" applyFont="1" applyFill="1" applyBorder="1" applyAlignment="1">
      <alignment horizontal="center" vertical="center"/>
    </xf>
    <xf numFmtId="174" fontId="20" fillId="22" borderId="100" xfId="127" applyNumberFormat="1" applyFont="1" applyFill="1" applyBorder="1" applyAlignment="1">
      <alignment horizontal="center" vertical="center"/>
    </xf>
    <xf numFmtId="0" fontId="20" fillId="19" borderId="33" xfId="0" applyFont="1" applyFill="1" applyBorder="1" applyAlignment="1">
      <alignment horizontal="left" vertical="center"/>
    </xf>
    <xf numFmtId="0" fontId="20" fillId="19" borderId="0" xfId="0" applyFont="1" applyFill="1" applyBorder="1" applyAlignment="1">
      <alignment horizontal="left" vertical="center"/>
    </xf>
    <xf numFmtId="0" fontId="20" fillId="22" borderId="74" xfId="0" applyFont="1" applyFill="1" applyBorder="1" applyAlignment="1">
      <alignment horizontal="center" vertical="center"/>
    </xf>
    <xf numFmtId="0" fontId="20" fillId="22" borderId="66" xfId="0" applyFont="1" applyFill="1" applyBorder="1" applyAlignment="1">
      <alignment horizontal="center" vertical="center"/>
    </xf>
    <xf numFmtId="0" fontId="20" fillId="22" borderId="24" xfId="0" applyFont="1" applyFill="1" applyBorder="1" applyAlignment="1">
      <alignment horizontal="center" vertical="center"/>
    </xf>
    <xf numFmtId="174" fontId="20" fillId="22" borderId="66" xfId="127" applyNumberFormat="1" applyFont="1" applyFill="1" applyBorder="1" applyAlignment="1">
      <alignment horizontal="center" vertical="center"/>
    </xf>
    <xf numFmtId="174" fontId="20" fillId="22" borderId="24" xfId="127" applyNumberFormat="1" applyFont="1" applyFill="1" applyBorder="1" applyAlignment="1">
      <alignment horizontal="center" vertical="center"/>
    </xf>
    <xf numFmtId="0" fontId="20" fillId="22" borderId="25" xfId="0" applyFont="1" applyFill="1" applyBorder="1" applyAlignment="1">
      <alignment horizontal="center" vertical="center"/>
    </xf>
    <xf numFmtId="174" fontId="20" fillId="22" borderId="25" xfId="127" applyNumberFormat="1" applyFont="1" applyFill="1" applyBorder="1" applyAlignment="1">
      <alignment horizontal="center" vertical="center"/>
    </xf>
    <xf numFmtId="0" fontId="20" fillId="23" borderId="69" xfId="128" applyFont="1" applyFill="1" applyBorder="1" applyAlignment="1">
      <alignment horizontal="center" vertical="center" wrapText="1"/>
    </xf>
    <xf numFmtId="0" fontId="20" fillId="23" borderId="70" xfId="128" applyFont="1" applyFill="1" applyBorder="1" applyAlignment="1">
      <alignment horizontal="center" vertical="center" wrapText="1"/>
    </xf>
    <xf numFmtId="0" fontId="20" fillId="23" borderId="71" xfId="128" applyFont="1" applyFill="1" applyBorder="1" applyAlignment="1">
      <alignment horizontal="center" vertical="center" wrapText="1"/>
    </xf>
    <xf numFmtId="4" fontId="28" fillId="23" borderId="26" xfId="128" applyNumberFormat="1" applyFont="1" applyFill="1" applyBorder="1" applyAlignment="1">
      <alignment horizontal="center" vertical="center" wrapText="1"/>
    </xf>
    <xf numFmtId="4" fontId="28" fillId="23" borderId="0" xfId="128" applyNumberFormat="1" applyFont="1" applyFill="1" applyBorder="1" applyAlignment="1">
      <alignment horizontal="center" vertical="center" wrapText="1"/>
    </xf>
    <xf numFmtId="0" fontId="28" fillId="23" borderId="29" xfId="128" applyFont="1" applyFill="1" applyBorder="1" applyAlignment="1">
      <alignment horizontal="center" vertical="center" wrapText="1"/>
    </xf>
    <xf numFmtId="0" fontId="28" fillId="23" borderId="30" xfId="128" applyFont="1" applyFill="1" applyBorder="1" applyAlignment="1">
      <alignment horizontal="center" vertical="center" wrapText="1"/>
    </xf>
    <xf numFmtId="0" fontId="28" fillId="23" borderId="31" xfId="128" applyFont="1" applyFill="1" applyBorder="1" applyAlignment="1">
      <alignment horizontal="center" vertical="center" wrapText="1"/>
    </xf>
    <xf numFmtId="4" fontId="20" fillId="23" borderId="27" xfId="128" applyNumberFormat="1" applyFont="1" applyFill="1" applyBorder="1" applyAlignment="1">
      <alignment horizontal="center" vertical="center" wrapText="1"/>
    </xf>
    <xf numFmtId="49" fontId="20" fillId="19" borderId="72" xfId="0" applyNumberFormat="1" applyFont="1" applyFill="1" applyBorder="1" applyAlignment="1">
      <alignment horizontal="center" vertical="center"/>
    </xf>
    <xf numFmtId="49" fontId="20" fillId="19" borderId="73" xfId="0" applyNumberFormat="1" applyFont="1" applyFill="1" applyBorder="1" applyAlignment="1">
      <alignment horizontal="center" vertical="center"/>
    </xf>
    <xf numFmtId="0" fontId="20" fillId="19" borderId="128" xfId="0" applyFont="1" applyFill="1" applyBorder="1" applyAlignment="1">
      <alignment horizontal="center" vertical="center"/>
    </xf>
    <xf numFmtId="0" fontId="20" fillId="19" borderId="26" xfId="0" applyFont="1" applyFill="1" applyBorder="1" applyAlignment="1">
      <alignment horizontal="center" vertical="center"/>
    </xf>
    <xf numFmtId="0" fontId="25" fillId="21" borderId="130" xfId="0" applyFont="1" applyFill="1" applyBorder="1" applyAlignment="1">
      <alignment horizontal="center" vertical="center"/>
    </xf>
    <xf numFmtId="0" fontId="0" fillId="0" borderId="130" xfId="0" applyBorder="1" applyAlignment="1">
      <alignment horizontal="center"/>
    </xf>
    <xf numFmtId="0" fontId="0" fillId="0" borderId="130" xfId="0" applyBorder="1" applyAlignment="1">
      <alignment horizontal="center" vertical="center"/>
    </xf>
    <xf numFmtId="0" fontId="25" fillId="21" borderId="126" xfId="0" applyFont="1" applyFill="1" applyBorder="1" applyAlignment="1">
      <alignment horizontal="center" vertical="center"/>
    </xf>
    <xf numFmtId="0" fontId="25" fillId="21" borderId="105" xfId="0" applyFont="1" applyFill="1" applyBorder="1" applyAlignment="1">
      <alignment horizontal="center" vertical="center"/>
    </xf>
    <xf numFmtId="0" fontId="25" fillId="21" borderId="12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9" borderId="97" xfId="0" applyFill="1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97" xfId="0" applyBorder="1" applyAlignment="1">
      <alignment horizontal="center" vertical="center"/>
    </xf>
    <xf numFmtId="0" fontId="0" fillId="19" borderId="95" xfId="0" applyFill="1" applyBorder="1" applyAlignment="1">
      <alignment horizontal="center"/>
    </xf>
    <xf numFmtId="0" fontId="0" fillId="19" borderId="105" xfId="0" applyFill="1" applyBorder="1" applyAlignment="1">
      <alignment horizontal="center"/>
    </xf>
    <xf numFmtId="0" fontId="0" fillId="19" borderId="98" xfId="0" applyFill="1" applyBorder="1" applyAlignment="1">
      <alignment horizontal="center"/>
    </xf>
    <xf numFmtId="0" fontId="0" fillId="21" borderId="97" xfId="0" applyFill="1" applyBorder="1" applyAlignment="1">
      <alignment horizontal="center" vertical="center" wrapText="1"/>
    </xf>
    <xf numFmtId="0" fontId="0" fillId="20" borderId="97" xfId="0" applyFill="1" applyBorder="1" applyAlignment="1">
      <alignment horizontal="center" vertical="center"/>
    </xf>
    <xf numFmtId="0" fontId="0" fillId="21" borderId="97" xfId="0" applyFill="1" applyBorder="1" applyAlignment="1">
      <alignment horizontal="center" vertical="center"/>
    </xf>
    <xf numFmtId="0" fontId="0" fillId="21" borderId="95" xfId="0" applyFill="1" applyBorder="1" applyAlignment="1">
      <alignment horizontal="center" vertical="center"/>
    </xf>
    <xf numFmtId="0" fontId="0" fillId="21" borderId="96" xfId="0" applyFill="1" applyBorder="1" applyAlignment="1">
      <alignment horizontal="center" vertical="center"/>
    </xf>
    <xf numFmtId="0" fontId="25" fillId="0" borderId="95" xfId="0" applyFont="1" applyBorder="1" applyAlignment="1">
      <alignment horizontal="center" vertical="center"/>
    </xf>
    <xf numFmtId="0" fontId="25" fillId="0" borderId="96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25" fillId="21" borderId="95" xfId="0" applyFont="1" applyFill="1" applyBorder="1" applyAlignment="1">
      <alignment horizontal="center" vertical="center"/>
    </xf>
    <xf numFmtId="0" fontId="25" fillId="21" borderId="96" xfId="0" applyFont="1" applyFill="1" applyBorder="1" applyAlignment="1">
      <alignment horizontal="center" vertical="center"/>
    </xf>
    <xf numFmtId="0" fontId="0" fillId="26" borderId="59" xfId="0" applyFill="1" applyBorder="1" applyAlignment="1">
      <alignment horizontal="center" vertical="center"/>
    </xf>
    <xf numFmtId="0" fontId="0" fillId="26" borderId="60" xfId="0" applyFill="1" applyBorder="1" applyAlignment="1">
      <alignment horizontal="center" vertical="center"/>
    </xf>
    <xf numFmtId="0" fontId="25" fillId="27" borderId="35" xfId="0" applyFont="1" applyFill="1" applyBorder="1" applyAlignment="1">
      <alignment horizontal="center"/>
    </xf>
    <xf numFmtId="0" fontId="25" fillId="27" borderId="36" xfId="0" applyFont="1" applyFill="1" applyBorder="1" applyAlignment="1">
      <alignment horizontal="center"/>
    </xf>
    <xf numFmtId="0" fontId="25" fillId="20" borderId="37" xfId="0" applyFont="1" applyFill="1" applyBorder="1" applyAlignment="1">
      <alignment horizontal="center"/>
    </xf>
    <xf numFmtId="0" fontId="25" fillId="20" borderId="38" xfId="0" applyFont="1" applyFill="1" applyBorder="1" applyAlignment="1">
      <alignment horizontal="center"/>
    </xf>
    <xf numFmtId="0" fontId="25" fillId="0" borderId="35" xfId="0" applyFont="1" applyBorder="1" applyAlignment="1">
      <alignment horizontal="center" wrapText="1"/>
    </xf>
    <xf numFmtId="0" fontId="25" fillId="0" borderId="36" xfId="0" applyFont="1" applyBorder="1" applyAlignment="1">
      <alignment horizontal="center" wrapText="1"/>
    </xf>
    <xf numFmtId="0" fontId="0" fillId="28" borderId="49" xfId="0" applyFill="1" applyBorder="1" applyAlignment="1">
      <alignment horizontal="center"/>
    </xf>
    <xf numFmtId="0" fontId="0" fillId="28" borderId="51" xfId="0" applyFill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28" borderId="59" xfId="0" applyFill="1" applyBorder="1" applyAlignment="1">
      <alignment horizontal="center"/>
    </xf>
    <xf numFmtId="0" fontId="0" fillId="28" borderId="60" xfId="0" applyFill="1" applyBorder="1" applyAlignment="1">
      <alignment horizontal="center"/>
    </xf>
    <xf numFmtId="0" fontId="25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5" fillId="0" borderId="23" xfId="0" applyFont="1" applyBorder="1" applyAlignment="1">
      <alignment horizontal="center"/>
    </xf>
    <xf numFmtId="170" fontId="0" fillId="0" borderId="23" xfId="0" applyNumberFormat="1" applyBorder="1" applyAlignment="1">
      <alignment horizontal="center" vertical="center"/>
    </xf>
    <xf numFmtId="0" fontId="0" fillId="20" borderId="81" xfId="0" applyFill="1" applyBorder="1" applyAlignment="1">
      <alignment horizontal="center"/>
    </xf>
    <xf numFmtId="0" fontId="0" fillId="20" borderId="117" xfId="0" applyFill="1" applyBorder="1" applyAlignment="1">
      <alignment horizontal="center" vertical="center"/>
    </xf>
    <xf numFmtId="0" fontId="0" fillId="20" borderId="118" xfId="0" applyFill="1" applyBorder="1" applyAlignment="1">
      <alignment horizontal="center" vertical="center"/>
    </xf>
    <xf numFmtId="0" fontId="0" fillId="20" borderId="119" xfId="0" applyFill="1" applyBorder="1" applyAlignment="1">
      <alignment horizontal="center" vertical="center"/>
    </xf>
    <xf numFmtId="0" fontId="25" fillId="27" borderId="49" xfId="0" applyFont="1" applyFill="1" applyBorder="1" applyAlignment="1">
      <alignment horizontal="center" vertical="center"/>
    </xf>
    <xf numFmtId="0" fontId="25" fillId="27" borderId="51" xfId="0" applyFont="1" applyFill="1" applyBorder="1" applyAlignment="1">
      <alignment horizontal="center" vertical="center"/>
    </xf>
    <xf numFmtId="0" fontId="0" fillId="20" borderId="16" xfId="0" applyFill="1" applyBorder="1" applyAlignment="1">
      <alignment horizontal="center" vertical="center"/>
    </xf>
    <xf numFmtId="0" fontId="0" fillId="20" borderId="17" xfId="0" applyFill="1" applyBorder="1" applyAlignment="1">
      <alignment horizontal="center" vertical="center"/>
    </xf>
    <xf numFmtId="0" fontId="25" fillId="27" borderId="49" xfId="0" applyFont="1" applyFill="1" applyBorder="1" applyAlignment="1">
      <alignment horizontal="center"/>
    </xf>
    <xf numFmtId="0" fontId="25" fillId="27" borderId="50" xfId="0" applyFont="1" applyFill="1" applyBorder="1" applyAlignment="1">
      <alignment horizontal="center"/>
    </xf>
    <xf numFmtId="0" fontId="25" fillId="27" borderId="51" xfId="0" applyFont="1" applyFill="1" applyBorder="1" applyAlignment="1">
      <alignment horizontal="center"/>
    </xf>
    <xf numFmtId="0" fontId="25" fillId="27" borderId="5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0" borderId="90" xfId="0" applyFill="1" applyBorder="1" applyAlignment="1">
      <alignment horizontal="center" vertical="center"/>
    </xf>
    <xf numFmtId="0" fontId="0" fillId="20" borderId="91" xfId="0" applyFill="1" applyBorder="1" applyAlignment="1">
      <alignment horizontal="center" vertical="center"/>
    </xf>
    <xf numFmtId="0" fontId="0" fillId="28" borderId="49" xfId="0" applyFill="1" applyBorder="1" applyAlignment="1">
      <alignment horizontal="center" vertical="center"/>
    </xf>
    <xf numFmtId="0" fontId="0" fillId="28" borderId="51" xfId="0" applyFill="1" applyBorder="1" applyAlignment="1">
      <alignment horizontal="center" vertical="center"/>
    </xf>
    <xf numFmtId="0" fontId="0" fillId="21" borderId="66" xfId="0" applyFill="1" applyBorder="1" applyAlignment="1">
      <alignment horizontal="center" vertical="center"/>
    </xf>
    <xf numFmtId="0" fontId="0" fillId="21" borderId="100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97" xfId="0" applyBorder="1" applyAlignment="1">
      <alignment horizontal="center"/>
    </xf>
    <xf numFmtId="0" fontId="0" fillId="19" borderId="109" xfId="0" applyFill="1" applyBorder="1" applyAlignment="1">
      <alignment horizontal="center"/>
    </xf>
    <xf numFmtId="0" fontId="0" fillId="19" borderId="99" xfId="0" applyFill="1" applyBorder="1" applyAlignment="1">
      <alignment horizontal="center"/>
    </xf>
    <xf numFmtId="0" fontId="0" fillId="0" borderId="107" xfId="0" applyBorder="1" applyAlignment="1">
      <alignment horizontal="center"/>
    </xf>
    <xf numFmtId="0" fontId="0" fillId="0" borderId="108" xfId="0" applyBorder="1" applyAlignment="1">
      <alignment horizontal="center"/>
    </xf>
    <xf numFmtId="0" fontId="0" fillId="24" borderId="95" xfId="0" applyFill="1" applyBorder="1" applyAlignment="1">
      <alignment horizontal="center" vertical="center"/>
    </xf>
    <xf numFmtId="0" fontId="0" fillId="24" borderId="96" xfId="0" applyFill="1" applyBorder="1" applyAlignment="1">
      <alignment horizontal="center" vertical="center"/>
    </xf>
    <xf numFmtId="168" fontId="0" fillId="24" borderId="96" xfId="0" applyNumberFormat="1" applyFill="1" applyBorder="1" applyAlignment="1">
      <alignment horizontal="center" vertical="center"/>
    </xf>
    <xf numFmtId="0" fontId="0" fillId="20" borderId="95" xfId="0" applyFill="1" applyBorder="1" applyAlignment="1">
      <alignment horizontal="left" vertical="center"/>
    </xf>
    <xf numFmtId="0" fontId="0" fillId="20" borderId="66" xfId="0" applyFill="1" applyBorder="1" applyAlignment="1">
      <alignment horizontal="center" vertical="center"/>
    </xf>
    <xf numFmtId="0" fontId="0" fillId="20" borderId="100" xfId="0" applyFill="1" applyBorder="1" applyAlignment="1">
      <alignment horizontal="center" vertical="center"/>
    </xf>
    <xf numFmtId="0" fontId="0" fillId="20" borderId="95" xfId="0" applyFill="1" applyBorder="1" applyAlignment="1">
      <alignment horizontal="left" vertical="center" wrapText="1"/>
    </xf>
    <xf numFmtId="0" fontId="0" fillId="20" borderId="111" xfId="0" applyFill="1" applyBorder="1" applyAlignment="1">
      <alignment horizontal="center" vertical="center"/>
    </xf>
    <xf numFmtId="0" fontId="0" fillId="20" borderId="99" xfId="0" applyFill="1" applyBorder="1" applyAlignment="1">
      <alignment horizontal="center" vertical="center"/>
    </xf>
    <xf numFmtId="0" fontId="0" fillId="20" borderId="71" xfId="0" applyFill="1" applyBorder="1" applyAlignment="1">
      <alignment horizontal="center" vertical="center"/>
    </xf>
    <xf numFmtId="0" fontId="0" fillId="20" borderId="32" xfId="0" applyFill="1" applyBorder="1" applyAlignment="1">
      <alignment horizontal="center" vertical="center"/>
    </xf>
  </cellXfs>
  <cellStyles count="129">
    <cellStyle name="20% - Ênfase1 2" xfId="1"/>
    <cellStyle name="20% - Ênfase1 3" xfId="45"/>
    <cellStyle name="20% - Ênfase1 4" xfId="87"/>
    <cellStyle name="20% - Ênfase2 2" xfId="2"/>
    <cellStyle name="20% - Ênfase2 3" xfId="46"/>
    <cellStyle name="20% - Ênfase2 4" xfId="88"/>
    <cellStyle name="20% - Ênfase3 2" xfId="3"/>
    <cellStyle name="20% - Ênfase3 3" xfId="47"/>
    <cellStyle name="20% - Ênfase3 4" xfId="89"/>
    <cellStyle name="20% - Ênfase4 2" xfId="4"/>
    <cellStyle name="20% - Ênfase4 3" xfId="48"/>
    <cellStyle name="20% - Ênfase4 4" xfId="90"/>
    <cellStyle name="20% - Ênfase5 2" xfId="5"/>
    <cellStyle name="20% - Ênfase5 3" xfId="49"/>
    <cellStyle name="20% - Ênfase5 4" xfId="91"/>
    <cellStyle name="20% - Ênfase6 2" xfId="6"/>
    <cellStyle name="20% - Ênfase6 3" xfId="50"/>
    <cellStyle name="20% - Ênfase6 4" xfId="92"/>
    <cellStyle name="40% - Ênfase1 2" xfId="7"/>
    <cellStyle name="40% - Ênfase1 3" xfId="51"/>
    <cellStyle name="40% - Ênfase1 4" xfId="93"/>
    <cellStyle name="40% - Ênfase2 2" xfId="8"/>
    <cellStyle name="40% - Ênfase2 3" xfId="52"/>
    <cellStyle name="40% - Ênfase2 4" xfId="94"/>
    <cellStyle name="40% - Ênfase3 2" xfId="9"/>
    <cellStyle name="40% - Ênfase3 3" xfId="53"/>
    <cellStyle name="40% - Ênfase3 4" xfId="95"/>
    <cellStyle name="40% - Ênfase4 2" xfId="10"/>
    <cellStyle name="40% - Ênfase4 3" xfId="54"/>
    <cellStyle name="40% - Ênfase4 4" xfId="96"/>
    <cellStyle name="40% - Ênfase5 2" xfId="11"/>
    <cellStyle name="40% - Ênfase5 3" xfId="55"/>
    <cellStyle name="40% - Ênfase5 4" xfId="97"/>
    <cellStyle name="40% - Ênfase6 2" xfId="12"/>
    <cellStyle name="40% - Ênfase6 3" xfId="56"/>
    <cellStyle name="40% - Ênfase6 4" xfId="98"/>
    <cellStyle name="60% - Ênfase1 2" xfId="13"/>
    <cellStyle name="60% - Ênfase1 3" xfId="57"/>
    <cellStyle name="60% - Ênfase1 4" xfId="99"/>
    <cellStyle name="60% - Ênfase2 2" xfId="14"/>
    <cellStyle name="60% - Ênfase2 3" xfId="58"/>
    <cellStyle name="60% - Ênfase2 4" xfId="100"/>
    <cellStyle name="60% - Ênfase3 2" xfId="15"/>
    <cellStyle name="60% - Ênfase3 3" xfId="59"/>
    <cellStyle name="60% - Ênfase3 4" xfId="101"/>
    <cellStyle name="60% - Ênfase4 2" xfId="16"/>
    <cellStyle name="60% - Ênfase4 3" xfId="60"/>
    <cellStyle name="60% - Ênfase4 4" xfId="102"/>
    <cellStyle name="60% - Ênfase5 2" xfId="17"/>
    <cellStyle name="60% - Ênfase5 3" xfId="61"/>
    <cellStyle name="60% - Ênfase5 4" xfId="103"/>
    <cellStyle name="60% - Ênfase6 2" xfId="18"/>
    <cellStyle name="60% - Ênfase6 3" xfId="62"/>
    <cellStyle name="60% - Ênfase6 4" xfId="104"/>
    <cellStyle name="Bom 2" xfId="19"/>
    <cellStyle name="Bom 3" xfId="63"/>
    <cellStyle name="Bom 4" xfId="105"/>
    <cellStyle name="Cálculo 2" xfId="20"/>
    <cellStyle name="Cálculo 3" xfId="64"/>
    <cellStyle name="Cálculo 4" xfId="106"/>
    <cellStyle name="Célula de Verificação 2" xfId="21"/>
    <cellStyle name="Célula de Verificação 3" xfId="65"/>
    <cellStyle name="Célula de Verificação 4" xfId="107"/>
    <cellStyle name="Célula Vinculada 2" xfId="22"/>
    <cellStyle name="Célula Vinculada 3" xfId="66"/>
    <cellStyle name="Célula Vinculada 4" xfId="108"/>
    <cellStyle name="Ênfase1 2" xfId="23"/>
    <cellStyle name="Ênfase1 3" xfId="67"/>
    <cellStyle name="Ênfase1 4" xfId="109"/>
    <cellStyle name="Ênfase2 2" xfId="24"/>
    <cellStyle name="Ênfase2 3" xfId="68"/>
    <cellStyle name="Ênfase2 4" xfId="110"/>
    <cellStyle name="Ênfase3 2" xfId="25"/>
    <cellStyle name="Ênfase3 3" xfId="69"/>
    <cellStyle name="Ênfase3 4" xfId="111"/>
    <cellStyle name="Ênfase4 2" xfId="26"/>
    <cellStyle name="Ênfase4 3" xfId="70"/>
    <cellStyle name="Ênfase4 4" xfId="112"/>
    <cellStyle name="Ênfase5 2" xfId="27"/>
    <cellStyle name="Ênfase5 3" xfId="71"/>
    <cellStyle name="Ênfase5 4" xfId="113"/>
    <cellStyle name="Ênfase6 2" xfId="28"/>
    <cellStyle name="Ênfase6 3" xfId="72"/>
    <cellStyle name="Ênfase6 4" xfId="114"/>
    <cellStyle name="Entrada 2" xfId="29"/>
    <cellStyle name="Entrada 3" xfId="73"/>
    <cellStyle name="Entrada 4" xfId="115"/>
    <cellStyle name="Normal" xfId="0" builtinId="0"/>
    <cellStyle name="Normal 2 2" xfId="30"/>
    <cellStyle name="Normal 2 3" xfId="74"/>
    <cellStyle name="Normal 2 4" xfId="116"/>
    <cellStyle name="Normal 3" xfId="31"/>
    <cellStyle name="Normal 4" xfId="44"/>
    <cellStyle name="Normal 5" xfId="86"/>
    <cellStyle name="Normal_Pesquisa no referencial 10 de maio de 2013" xfId="128"/>
    <cellStyle name="Nota 2" xfId="32"/>
    <cellStyle name="Nota 3" xfId="75"/>
    <cellStyle name="Nota 4" xfId="117"/>
    <cellStyle name="Porcentagem 2 2" xfId="33"/>
    <cellStyle name="Porcentagem 2 3" xfId="76"/>
    <cellStyle name="Porcentagem 2 4" xfId="118"/>
    <cellStyle name="Saída 2" xfId="34"/>
    <cellStyle name="Saída 3" xfId="77"/>
    <cellStyle name="Saída 4" xfId="119"/>
    <cellStyle name="Separador de milhares 3" xfId="85"/>
    <cellStyle name="Texto de Aviso 2" xfId="35"/>
    <cellStyle name="Texto de Aviso 3" xfId="78"/>
    <cellStyle name="Texto de Aviso 4" xfId="120"/>
    <cellStyle name="Texto Explicativo 2" xfId="36"/>
    <cellStyle name="Texto Explicativo 3" xfId="79"/>
    <cellStyle name="Texto Explicativo 4" xfId="121"/>
    <cellStyle name="Título 1 2" xfId="37"/>
    <cellStyle name="Título 1 3" xfId="80"/>
    <cellStyle name="Título 1 4" xfId="122"/>
    <cellStyle name="Título 2 2" xfId="38"/>
    <cellStyle name="Título 2 3" xfId="81"/>
    <cellStyle name="Título 2 4" xfId="123"/>
    <cellStyle name="Título 3 2" xfId="39"/>
    <cellStyle name="Título 3 3" xfId="82"/>
    <cellStyle name="Título 3 4" xfId="124"/>
    <cellStyle name="Título 4 2" xfId="40"/>
    <cellStyle name="Título 4 3" xfId="83"/>
    <cellStyle name="Título 4 4" xfId="125"/>
    <cellStyle name="Título 5" xfId="41"/>
    <cellStyle name="Total 2" xfId="42"/>
    <cellStyle name="Total 3" xfId="84"/>
    <cellStyle name="Total 4" xfId="126"/>
    <cellStyle name="Vírgula 2" xfId="43"/>
    <cellStyle name="Vírgula 5" xfId="127"/>
  </cellStyles>
  <dxfs count="0"/>
  <tableStyles count="0" defaultTableStyle="TableStyleMedium2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21</xdr:row>
      <xdr:rowOff>142875</xdr:rowOff>
    </xdr:from>
    <xdr:to>
      <xdr:col>2</xdr:col>
      <xdr:colOff>619125</xdr:colOff>
      <xdr:row>23</xdr:row>
      <xdr:rowOff>28575</xdr:rowOff>
    </xdr:to>
    <xdr:cxnSp macro="">
      <xdr:nvCxnSpPr>
        <xdr:cNvPr id="3" name="Conector de seta reta 2"/>
        <xdr:cNvCxnSpPr/>
      </xdr:nvCxnSpPr>
      <xdr:spPr>
        <a:xfrm>
          <a:off x="3419475" y="4457700"/>
          <a:ext cx="523875" cy="304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21</xdr:row>
      <xdr:rowOff>95250</xdr:rowOff>
    </xdr:from>
    <xdr:to>
      <xdr:col>5</xdr:col>
      <xdr:colOff>257175</xdr:colOff>
      <xdr:row>23</xdr:row>
      <xdr:rowOff>57150</xdr:rowOff>
    </xdr:to>
    <xdr:cxnSp macro="">
      <xdr:nvCxnSpPr>
        <xdr:cNvPr id="5" name="Conector de seta reta 4"/>
        <xdr:cNvCxnSpPr/>
      </xdr:nvCxnSpPr>
      <xdr:spPr>
        <a:xfrm rot="5400000">
          <a:off x="6372225" y="4533900"/>
          <a:ext cx="381000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10</xdr:row>
      <xdr:rowOff>0</xdr:rowOff>
    </xdr:from>
    <xdr:to>
      <xdr:col>11</xdr:col>
      <xdr:colOff>323850</xdr:colOff>
      <xdr:row>41</xdr:row>
      <xdr:rowOff>180975</xdr:rowOff>
    </xdr:to>
    <xdr:sp macro="" textlink="">
      <xdr:nvSpPr>
        <xdr:cNvPr id="6" name="Retângulo 5"/>
        <xdr:cNvSpPr/>
      </xdr:nvSpPr>
      <xdr:spPr>
        <a:xfrm>
          <a:off x="7981950" y="2152650"/>
          <a:ext cx="5629275" cy="65246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oneCellAnchor>
    <xdr:from>
      <xdr:col>7</xdr:col>
      <xdr:colOff>400050</xdr:colOff>
      <xdr:row>11</xdr:row>
      <xdr:rowOff>28575</xdr:rowOff>
    </xdr:from>
    <xdr:ext cx="4891724" cy="342786"/>
    <xdr:sp macro="" textlink="">
      <xdr:nvSpPr>
        <xdr:cNvPr id="7" name="CaixaDeTexto 6"/>
        <xdr:cNvSpPr txBox="1"/>
      </xdr:nvSpPr>
      <xdr:spPr>
        <a:xfrm>
          <a:off x="8096250" y="2390775"/>
          <a:ext cx="48917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t-BR" sz="1600" b="1">
              <a:solidFill>
                <a:schemeClr val="tx2">
                  <a:lumMod val="60000"/>
                  <a:lumOff val="40000"/>
                </a:schemeClr>
              </a:solidFill>
            </a:rPr>
            <a:t>VIGA</a:t>
          </a:r>
          <a:r>
            <a:rPr lang="pt-BR" sz="1600" b="1" baseline="0">
              <a:solidFill>
                <a:schemeClr val="tx2">
                  <a:lumMod val="60000"/>
                  <a:lumOff val="40000"/>
                </a:schemeClr>
              </a:solidFill>
            </a:rPr>
            <a:t> BALDRAME PARA QUADRA DE GRAMA SINTÉTICA</a:t>
          </a:r>
          <a:endParaRPr lang="pt-BR" sz="16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oneCellAnchor>
  <xdr:twoCellAnchor>
    <xdr:from>
      <xdr:col>0</xdr:col>
      <xdr:colOff>1704975</xdr:colOff>
      <xdr:row>140</xdr:row>
      <xdr:rowOff>47625</xdr:rowOff>
    </xdr:from>
    <xdr:to>
      <xdr:col>3</xdr:col>
      <xdr:colOff>466725</xdr:colOff>
      <xdr:row>141</xdr:row>
      <xdr:rowOff>152400</xdr:rowOff>
    </xdr:to>
    <xdr:sp macro="" textlink="">
      <xdr:nvSpPr>
        <xdr:cNvPr id="8" name="CaixaDeTexto 7"/>
        <xdr:cNvSpPr txBox="1"/>
      </xdr:nvSpPr>
      <xdr:spPr>
        <a:xfrm>
          <a:off x="1704975" y="27765375"/>
          <a:ext cx="29908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pt-BR" sz="1100"/>
            <a:t>AÇO - BLOCOS</a:t>
          </a:r>
        </a:p>
      </xdr:txBody>
    </xdr:sp>
    <xdr:clientData/>
  </xdr:twoCellAnchor>
  <xdr:twoCellAnchor>
    <xdr:from>
      <xdr:col>0</xdr:col>
      <xdr:colOff>1533525</xdr:colOff>
      <xdr:row>157</xdr:row>
      <xdr:rowOff>152400</xdr:rowOff>
    </xdr:from>
    <xdr:to>
      <xdr:col>3</xdr:col>
      <xdr:colOff>295275</xdr:colOff>
      <xdr:row>159</xdr:row>
      <xdr:rowOff>66675</xdr:rowOff>
    </xdr:to>
    <xdr:sp macro="" textlink="">
      <xdr:nvSpPr>
        <xdr:cNvPr id="9" name="CaixaDeTexto 8"/>
        <xdr:cNvSpPr txBox="1"/>
      </xdr:nvSpPr>
      <xdr:spPr>
        <a:xfrm>
          <a:off x="1533525" y="31680150"/>
          <a:ext cx="29908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pt-BR" sz="1100"/>
            <a:t>AÇO</a:t>
          </a:r>
          <a:r>
            <a:rPr lang="pt-BR" sz="1100" baseline="0"/>
            <a:t> - </a:t>
          </a:r>
          <a:r>
            <a:rPr lang="pt-BR" sz="1100"/>
            <a:t>VIGA</a:t>
          </a:r>
          <a:r>
            <a:rPr lang="pt-BR" sz="1100" baseline="0"/>
            <a:t> BALDRAME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12</xdr:row>
      <xdr:rowOff>85725</xdr:rowOff>
    </xdr:from>
    <xdr:to>
      <xdr:col>9</xdr:col>
      <xdr:colOff>361950</xdr:colOff>
      <xdr:row>20</xdr:row>
      <xdr:rowOff>66675</xdr:rowOff>
    </xdr:to>
    <xdr:cxnSp macro="">
      <xdr:nvCxnSpPr>
        <xdr:cNvPr id="3" name="Conector de seta reta 2"/>
        <xdr:cNvCxnSpPr/>
      </xdr:nvCxnSpPr>
      <xdr:spPr>
        <a:xfrm>
          <a:off x="2486025" y="2371725"/>
          <a:ext cx="4819650" cy="1504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zoomScale="85" zoomScaleNormal="85" workbookViewId="0">
      <pane ySplit="9" topLeftCell="A73" activePane="bottomLeft" state="frozen"/>
      <selection pane="bottomLeft" activeCell="J85" sqref="J84:J85"/>
    </sheetView>
  </sheetViews>
  <sheetFormatPr defaultRowHeight="15"/>
  <cols>
    <col min="1" max="1" width="5.28515625" customWidth="1"/>
    <col min="2" max="2" width="13.85546875" customWidth="1"/>
    <col min="3" max="3" width="10.5703125" bestFit="1" customWidth="1"/>
    <col min="4" max="4" width="52.85546875" customWidth="1"/>
    <col min="5" max="5" width="5.7109375" style="167" bestFit="1" customWidth="1"/>
    <col min="6" max="6" width="11.7109375" style="8" customWidth="1"/>
    <col min="7" max="7" width="12.5703125" customWidth="1"/>
    <col min="8" max="8" width="17" style="8" customWidth="1"/>
    <col min="9" max="9" width="9.7109375" style="8" customWidth="1"/>
    <col min="10" max="10" width="12.5703125" style="8" bestFit="1" customWidth="1"/>
    <col min="11" max="14" width="15.140625" style="8" customWidth="1"/>
    <col min="15" max="15" width="15" customWidth="1"/>
    <col min="16" max="16" width="10.28515625" bestFit="1" customWidth="1"/>
    <col min="17" max="17" width="11.5703125" bestFit="1" customWidth="1"/>
  </cols>
  <sheetData>
    <row r="1" spans="1:17" ht="15.75">
      <c r="A1" s="288" t="s">
        <v>14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pans="1:17">
      <c r="A2" s="106"/>
      <c r="B2" s="106"/>
      <c r="C2" s="106"/>
      <c r="D2" s="106"/>
      <c r="E2" s="112"/>
      <c r="F2" s="107"/>
      <c r="G2" s="106"/>
      <c r="H2" s="107"/>
      <c r="I2" s="107"/>
      <c r="J2" s="107"/>
      <c r="K2" s="107"/>
      <c r="L2" s="107"/>
      <c r="M2" s="107"/>
      <c r="N2" s="107"/>
      <c r="O2" s="106"/>
    </row>
    <row r="3" spans="1:17" ht="15.75">
      <c r="A3" s="288" t="s">
        <v>494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</row>
    <row r="4" spans="1:17" ht="15.75">
      <c r="A4" s="293" t="s">
        <v>526</v>
      </c>
      <c r="B4" s="293"/>
      <c r="C4" s="293"/>
      <c r="D4" s="293"/>
      <c r="E4" s="112"/>
      <c r="F4" s="107"/>
      <c r="G4" s="106"/>
      <c r="H4" s="107"/>
      <c r="I4" s="107"/>
      <c r="J4" s="107"/>
      <c r="K4" s="107"/>
      <c r="L4" s="107"/>
      <c r="M4" s="107"/>
      <c r="N4" s="107"/>
      <c r="O4" s="106"/>
    </row>
    <row r="5" spans="1:17">
      <c r="A5" s="294" t="s">
        <v>9</v>
      </c>
      <c r="B5" s="294"/>
      <c r="C5" s="252">
        <v>0.2034</v>
      </c>
      <c r="D5" s="109">
        <v>1.2034</v>
      </c>
      <c r="E5" s="112"/>
      <c r="F5" s="246">
        <v>1.2048000000000001</v>
      </c>
      <c r="G5" s="109"/>
      <c r="H5" s="107"/>
      <c r="I5" s="107"/>
      <c r="J5" s="107"/>
      <c r="K5" s="107"/>
      <c r="L5" s="107"/>
      <c r="M5" s="107"/>
      <c r="N5" s="107"/>
      <c r="O5" s="106"/>
      <c r="Q5" s="221"/>
    </row>
    <row r="6" spans="1:17">
      <c r="A6" s="294" t="s">
        <v>299</v>
      </c>
      <c r="B6" s="294"/>
      <c r="C6" s="294"/>
      <c r="D6" s="294"/>
      <c r="E6" s="183"/>
      <c r="F6" s="247"/>
      <c r="G6" s="110"/>
      <c r="H6" s="107"/>
      <c r="I6" s="107"/>
      <c r="J6" s="107"/>
      <c r="K6" s="107"/>
      <c r="L6" s="107"/>
      <c r="M6" s="107"/>
      <c r="N6" s="107"/>
      <c r="O6" s="106"/>
    </row>
    <row r="7" spans="1:17">
      <c r="A7" s="106"/>
      <c r="B7" s="108"/>
      <c r="C7" s="111"/>
      <c r="D7" s="106"/>
      <c r="E7" s="112"/>
      <c r="F7" s="248"/>
      <c r="G7" s="283" t="s">
        <v>204</v>
      </c>
      <c r="H7" s="295"/>
      <c r="I7" s="295"/>
      <c r="J7" s="283" t="s">
        <v>393</v>
      </c>
      <c r="K7" s="295"/>
      <c r="L7" s="295"/>
      <c r="M7" s="283" t="s">
        <v>205</v>
      </c>
      <c r="N7" s="284"/>
      <c r="O7" s="106"/>
    </row>
    <row r="8" spans="1:17" ht="25.5">
      <c r="A8" s="2" t="s">
        <v>3</v>
      </c>
      <c r="B8" s="3" t="s">
        <v>4</v>
      </c>
      <c r="C8" s="3" t="s">
        <v>5</v>
      </c>
      <c r="D8" s="3" t="s">
        <v>6</v>
      </c>
      <c r="E8" s="3" t="s">
        <v>442</v>
      </c>
      <c r="F8" s="6" t="s">
        <v>7</v>
      </c>
      <c r="G8" s="6" t="s">
        <v>201</v>
      </c>
      <c r="H8" s="6" t="s">
        <v>202</v>
      </c>
      <c r="I8" s="118" t="s">
        <v>203</v>
      </c>
      <c r="J8" s="241" t="s">
        <v>201</v>
      </c>
      <c r="K8" s="118" t="s">
        <v>202</v>
      </c>
      <c r="L8" s="118" t="s">
        <v>203</v>
      </c>
      <c r="M8" s="241" t="s">
        <v>201</v>
      </c>
      <c r="N8" s="118" t="s">
        <v>206</v>
      </c>
      <c r="O8" s="4" t="s">
        <v>8</v>
      </c>
    </row>
    <row r="9" spans="1:17" ht="15" customHeight="1">
      <c r="A9" s="289" t="s">
        <v>495</v>
      </c>
      <c r="B9" s="290"/>
      <c r="C9" s="290"/>
      <c r="D9" s="290"/>
      <c r="E9" s="21"/>
      <c r="F9" s="21"/>
      <c r="G9" s="21"/>
      <c r="H9" s="21"/>
      <c r="I9" s="119"/>
      <c r="J9" s="242"/>
      <c r="K9" s="119"/>
      <c r="L9" s="119"/>
      <c r="M9" s="242">
        <f>SUM(M11:M11,M13:M15,M17:M41,M43:M62,M64:M68,M70:M76)</f>
        <v>336737.14000000007</v>
      </c>
      <c r="N9" s="242">
        <f>SUM(N11:N11,N13:N15,N17:N41,N43:N62,N64:N68,N70:N76)</f>
        <v>63490.58</v>
      </c>
      <c r="O9" s="7">
        <f>O10+O12+O42+O63+O69+O16</f>
        <v>400227.72</v>
      </c>
    </row>
    <row r="10" spans="1:17" ht="15" customHeight="1">
      <c r="A10" s="9" t="s">
        <v>10</v>
      </c>
      <c r="B10" s="291" t="s">
        <v>132</v>
      </c>
      <c r="C10" s="291"/>
      <c r="D10" s="291"/>
      <c r="E10" s="292"/>
      <c r="F10" s="292"/>
      <c r="G10" s="20"/>
      <c r="H10" s="10"/>
      <c r="I10" s="120"/>
      <c r="J10" s="245"/>
      <c r="K10" s="120"/>
      <c r="L10" s="120"/>
      <c r="M10" s="237"/>
      <c r="N10" s="243"/>
      <c r="O10" s="11">
        <f>SUM(O11:O11)</f>
        <v>773.72</v>
      </c>
    </row>
    <row r="11" spans="1:17">
      <c r="A11" s="12" t="s">
        <v>11</v>
      </c>
      <c r="B11" s="13" t="s">
        <v>94</v>
      </c>
      <c r="C11" s="14" t="s">
        <v>444</v>
      </c>
      <c r="D11" s="15" t="s">
        <v>134</v>
      </c>
      <c r="E11" s="182" t="s">
        <v>0</v>
      </c>
      <c r="F11" s="268">
        <v>2</v>
      </c>
      <c r="G11" s="96">
        <f>Composição!F6</f>
        <v>260.65000000000003</v>
      </c>
      <c r="H11" s="96">
        <f>Composição!F7</f>
        <v>60.82</v>
      </c>
      <c r="I11" s="239">
        <f>G11+H11</f>
        <v>321.47000000000003</v>
      </c>
      <c r="J11" s="244">
        <f>ROUND((G11*$D$5),2)</f>
        <v>313.67</v>
      </c>
      <c r="K11" s="89">
        <f>ROUND((H11*$D$5),2)</f>
        <v>73.19</v>
      </c>
      <c r="L11" s="239">
        <f>J11+K11</f>
        <v>386.86</v>
      </c>
      <c r="M11" s="244">
        <f>ROUND((J11*F11),2)</f>
        <v>627.34</v>
      </c>
      <c r="N11" s="89">
        <f>ROUND((K11*F11),2)</f>
        <v>146.38</v>
      </c>
      <c r="O11" s="16">
        <f>M11+N11</f>
        <v>773.72</v>
      </c>
      <c r="P11" s="5"/>
      <c r="Q11" s="88"/>
    </row>
    <row r="12" spans="1:17" ht="15" customHeight="1">
      <c r="A12" s="9" t="s">
        <v>20</v>
      </c>
      <c r="B12" s="291" t="s">
        <v>443</v>
      </c>
      <c r="C12" s="291"/>
      <c r="D12" s="291"/>
      <c r="E12" s="292"/>
      <c r="F12" s="292"/>
      <c r="G12" s="20"/>
      <c r="H12" s="10"/>
      <c r="I12" s="237"/>
      <c r="J12" s="245"/>
      <c r="K12" s="238"/>
      <c r="L12" s="240"/>
      <c r="M12" s="237"/>
      <c r="N12" s="120"/>
      <c r="O12" s="11">
        <f>SUM(O13:O15)</f>
        <v>12434.939999999999</v>
      </c>
      <c r="P12" s="5"/>
      <c r="Q12" s="88"/>
    </row>
    <row r="13" spans="1:17" ht="51">
      <c r="A13" s="12" t="s">
        <v>479</v>
      </c>
      <c r="B13" s="13" t="s">
        <v>22</v>
      </c>
      <c r="C13" s="14" t="s">
        <v>37</v>
      </c>
      <c r="D13" s="15" t="s">
        <v>38</v>
      </c>
      <c r="E13" s="182" t="s">
        <v>17</v>
      </c>
      <c r="F13" s="268">
        <v>12</v>
      </c>
      <c r="G13" s="96">
        <f>0.31+95.2</f>
        <v>95.51</v>
      </c>
      <c r="H13" s="96">
        <f>83.93+0.28</f>
        <v>84.210000000000008</v>
      </c>
      <c r="I13" s="239">
        <f t="shared" ref="I13:I76" si="0">G13+H13</f>
        <v>179.72000000000003</v>
      </c>
      <c r="J13" s="244">
        <f>ROUND((G13*$D$5),2)</f>
        <v>114.94</v>
      </c>
      <c r="K13" s="89">
        <f>ROUND((H13*$D$5),2)</f>
        <v>101.34</v>
      </c>
      <c r="L13" s="239">
        <f t="shared" ref="L13:L65" si="1">J13+K13</f>
        <v>216.28</v>
      </c>
      <c r="M13" s="244">
        <f>ROUND((J13*F13),2)</f>
        <v>1379.28</v>
      </c>
      <c r="N13" s="89">
        <f>ROUND((K13*F13),2)</f>
        <v>1216.08</v>
      </c>
      <c r="O13" s="16">
        <f t="shared" ref="O13:O22" si="2">M13+N13</f>
        <v>2595.3599999999997</v>
      </c>
      <c r="P13" s="5"/>
      <c r="Q13" s="88"/>
    </row>
    <row r="14" spans="1:17" ht="51">
      <c r="A14" s="12" t="s">
        <v>474</v>
      </c>
      <c r="B14" s="13" t="s">
        <v>22</v>
      </c>
      <c r="C14" s="14" t="s">
        <v>350</v>
      </c>
      <c r="D14" s="15" t="s">
        <v>351</v>
      </c>
      <c r="E14" s="182" t="s">
        <v>17</v>
      </c>
      <c r="F14" s="268">
        <v>12</v>
      </c>
      <c r="G14" s="96">
        <v>82.36</v>
      </c>
      <c r="H14" s="96">
        <v>3.05</v>
      </c>
      <c r="I14" s="239">
        <f t="shared" ref="I14" si="3">G14+H14</f>
        <v>85.41</v>
      </c>
      <c r="J14" s="244">
        <f t="shared" ref="J14:J15" si="4">ROUND((G14*$D$5),2)</f>
        <v>99.11</v>
      </c>
      <c r="K14" s="89">
        <f t="shared" ref="K14:K15" si="5">ROUND((H14*$D$5),2)</f>
        <v>3.67</v>
      </c>
      <c r="L14" s="239">
        <f t="shared" si="1"/>
        <v>102.78</v>
      </c>
      <c r="M14" s="244">
        <f t="shared" ref="M14:M76" si="6">ROUND((J14*F14),2)</f>
        <v>1189.32</v>
      </c>
      <c r="N14" s="89">
        <f t="shared" ref="N14:N76" si="7">ROUND((K14*F14),2)</f>
        <v>44.04</v>
      </c>
      <c r="O14" s="16">
        <f t="shared" ref="O14" si="8">M14+N14</f>
        <v>1233.3599999999999</v>
      </c>
      <c r="P14" s="5"/>
      <c r="Q14" s="88"/>
    </row>
    <row r="15" spans="1:17" ht="38.25">
      <c r="A15" s="12" t="s">
        <v>480</v>
      </c>
      <c r="B15" s="13" t="s">
        <v>22</v>
      </c>
      <c r="C15" s="14" t="s">
        <v>23</v>
      </c>
      <c r="D15" s="15" t="s">
        <v>24</v>
      </c>
      <c r="E15" s="182" t="s">
        <v>2</v>
      </c>
      <c r="F15" s="268">
        <v>93</v>
      </c>
      <c r="G15" s="96">
        <v>63.2</v>
      </c>
      <c r="H15" s="96">
        <v>13.7</v>
      </c>
      <c r="I15" s="239">
        <f t="shared" si="0"/>
        <v>76.900000000000006</v>
      </c>
      <c r="J15" s="244">
        <f t="shared" si="4"/>
        <v>76.05</v>
      </c>
      <c r="K15" s="89">
        <f t="shared" si="5"/>
        <v>16.489999999999998</v>
      </c>
      <c r="L15" s="239">
        <f t="shared" si="1"/>
        <v>92.539999999999992</v>
      </c>
      <c r="M15" s="244">
        <f t="shared" si="6"/>
        <v>7072.65</v>
      </c>
      <c r="N15" s="89">
        <f t="shared" si="7"/>
        <v>1533.57</v>
      </c>
      <c r="O15" s="16">
        <f t="shared" si="2"/>
        <v>8606.2199999999993</v>
      </c>
      <c r="P15" s="5"/>
      <c r="Q15" s="88"/>
    </row>
    <row r="16" spans="1:17">
      <c r="A16" s="9" t="s">
        <v>12</v>
      </c>
      <c r="B16" s="291" t="s">
        <v>282</v>
      </c>
      <c r="C16" s="291"/>
      <c r="D16" s="291"/>
      <c r="E16" s="292"/>
      <c r="F16" s="292"/>
      <c r="G16" s="20"/>
      <c r="H16" s="10"/>
      <c r="I16" s="237"/>
      <c r="J16" s="245"/>
      <c r="K16" s="238"/>
      <c r="L16" s="240"/>
      <c r="M16" s="245"/>
      <c r="N16" s="238"/>
      <c r="O16" s="11">
        <f>SUM(O17:O41)</f>
        <v>45884.38</v>
      </c>
      <c r="P16" s="5"/>
      <c r="Q16" s="88"/>
    </row>
    <row r="17" spans="1:17" ht="38.25">
      <c r="A17" s="12" t="s">
        <v>18</v>
      </c>
      <c r="B17" s="13" t="s">
        <v>22</v>
      </c>
      <c r="C17" s="14" t="s">
        <v>232</v>
      </c>
      <c r="D17" s="15" t="s">
        <v>233</v>
      </c>
      <c r="E17" s="182" t="s">
        <v>2</v>
      </c>
      <c r="F17" s="268">
        <v>192.01</v>
      </c>
      <c r="G17" s="96">
        <v>6.73</v>
      </c>
      <c r="H17" s="96">
        <v>3.94</v>
      </c>
      <c r="I17" s="239">
        <f t="shared" si="0"/>
        <v>10.67</v>
      </c>
      <c r="J17" s="244">
        <f>ROUND((G17*$D$5),2)</f>
        <v>8.1</v>
      </c>
      <c r="K17" s="89">
        <f>ROUND((H17*$D$5),2)</f>
        <v>4.74</v>
      </c>
      <c r="L17" s="239">
        <f t="shared" si="1"/>
        <v>12.84</v>
      </c>
      <c r="M17" s="244">
        <f t="shared" si="6"/>
        <v>1555.28</v>
      </c>
      <c r="N17" s="89">
        <f t="shared" si="7"/>
        <v>910.13</v>
      </c>
      <c r="O17" s="16">
        <f t="shared" si="2"/>
        <v>2465.41</v>
      </c>
      <c r="P17" s="5"/>
      <c r="Q17" s="88"/>
    </row>
    <row r="18" spans="1:17" ht="38.25">
      <c r="A18" s="12" t="s">
        <v>19</v>
      </c>
      <c r="B18" s="13" t="s">
        <v>22</v>
      </c>
      <c r="C18" s="14" t="s">
        <v>213</v>
      </c>
      <c r="D18" s="15" t="s">
        <v>224</v>
      </c>
      <c r="E18" s="182" t="s">
        <v>2</v>
      </c>
      <c r="F18" s="268">
        <v>192.03</v>
      </c>
      <c r="G18" s="96">
        <v>9.66</v>
      </c>
      <c r="H18" s="96">
        <v>4.67</v>
      </c>
      <c r="I18" s="239">
        <f t="shared" si="0"/>
        <v>14.33</v>
      </c>
      <c r="J18" s="244">
        <f t="shared" ref="J18:J41" si="9">ROUND((G18*$D$5),2)</f>
        <v>11.62</v>
      </c>
      <c r="K18" s="89">
        <f t="shared" ref="K18:K41" si="10">ROUND((H18*$D$5),2)</f>
        <v>5.62</v>
      </c>
      <c r="L18" s="239">
        <f t="shared" si="1"/>
        <v>17.239999999999998</v>
      </c>
      <c r="M18" s="244">
        <f t="shared" si="6"/>
        <v>2231.39</v>
      </c>
      <c r="N18" s="89">
        <f t="shared" si="7"/>
        <v>1079.21</v>
      </c>
      <c r="O18" s="16">
        <f t="shared" si="2"/>
        <v>3310.6</v>
      </c>
      <c r="P18" s="5"/>
      <c r="Q18" s="88"/>
    </row>
    <row r="19" spans="1:17" ht="38.25">
      <c r="A19" s="12" t="s">
        <v>13</v>
      </c>
      <c r="B19" s="13" t="s">
        <v>22</v>
      </c>
      <c r="C19" s="14" t="s">
        <v>352</v>
      </c>
      <c r="D19" s="15" t="s">
        <v>353</v>
      </c>
      <c r="E19" s="182" t="s">
        <v>2</v>
      </c>
      <c r="F19" s="268">
        <v>88.54</v>
      </c>
      <c r="G19" s="96">
        <v>8.48</v>
      </c>
      <c r="H19" s="96">
        <v>4.9000000000000004</v>
      </c>
      <c r="I19" s="239">
        <f t="shared" si="0"/>
        <v>13.38</v>
      </c>
      <c r="J19" s="244">
        <f t="shared" si="9"/>
        <v>10.199999999999999</v>
      </c>
      <c r="K19" s="89">
        <f t="shared" si="10"/>
        <v>5.9</v>
      </c>
      <c r="L19" s="239">
        <f t="shared" si="1"/>
        <v>16.100000000000001</v>
      </c>
      <c r="M19" s="244">
        <f t="shared" si="6"/>
        <v>903.11</v>
      </c>
      <c r="N19" s="89">
        <f t="shared" si="7"/>
        <v>522.39</v>
      </c>
      <c r="O19" s="16">
        <f t="shared" si="2"/>
        <v>1425.5</v>
      </c>
      <c r="P19" s="5"/>
      <c r="Q19" s="88"/>
    </row>
    <row r="20" spans="1:17" ht="38.25">
      <c r="A20" s="12" t="s">
        <v>172</v>
      </c>
      <c r="B20" s="13" t="s">
        <v>22</v>
      </c>
      <c r="C20" s="14" t="s">
        <v>214</v>
      </c>
      <c r="D20" s="15" t="s">
        <v>228</v>
      </c>
      <c r="E20" s="182" t="s">
        <v>17</v>
      </c>
      <c r="F20" s="268">
        <v>1</v>
      </c>
      <c r="G20" s="96">
        <v>59.35</v>
      </c>
      <c r="H20" s="96">
        <v>10.86</v>
      </c>
      <c r="I20" s="239">
        <f t="shared" si="0"/>
        <v>70.210000000000008</v>
      </c>
      <c r="J20" s="244">
        <f t="shared" si="9"/>
        <v>71.42</v>
      </c>
      <c r="K20" s="89">
        <f t="shared" si="10"/>
        <v>13.07</v>
      </c>
      <c r="L20" s="239">
        <f t="shared" si="1"/>
        <v>84.490000000000009</v>
      </c>
      <c r="M20" s="244">
        <f t="shared" si="6"/>
        <v>71.42</v>
      </c>
      <c r="N20" s="89">
        <f t="shared" si="7"/>
        <v>13.07</v>
      </c>
      <c r="O20" s="16">
        <f t="shared" si="2"/>
        <v>84.490000000000009</v>
      </c>
      <c r="P20" s="5"/>
      <c r="Q20" s="88"/>
    </row>
    <row r="21" spans="1:17" ht="38.25">
      <c r="A21" s="12" t="s">
        <v>173</v>
      </c>
      <c r="B21" s="13" t="s">
        <v>22</v>
      </c>
      <c r="C21" s="14" t="s">
        <v>302</v>
      </c>
      <c r="D21" s="15" t="s">
        <v>301</v>
      </c>
      <c r="E21" s="182" t="s">
        <v>17</v>
      </c>
      <c r="F21" s="268">
        <v>4</v>
      </c>
      <c r="G21" s="96">
        <v>10.27</v>
      </c>
      <c r="H21" s="96">
        <v>1.46</v>
      </c>
      <c r="I21" s="239">
        <f t="shared" si="0"/>
        <v>11.73</v>
      </c>
      <c r="J21" s="244">
        <f t="shared" si="9"/>
        <v>12.36</v>
      </c>
      <c r="K21" s="89">
        <f t="shared" si="10"/>
        <v>1.76</v>
      </c>
      <c r="L21" s="239">
        <f t="shared" si="1"/>
        <v>14.12</v>
      </c>
      <c r="M21" s="244">
        <f t="shared" si="6"/>
        <v>49.44</v>
      </c>
      <c r="N21" s="89">
        <f t="shared" si="7"/>
        <v>7.04</v>
      </c>
      <c r="O21" s="16">
        <f t="shared" si="2"/>
        <v>56.48</v>
      </c>
      <c r="P21" s="5"/>
      <c r="Q21" s="88"/>
    </row>
    <row r="22" spans="1:17" ht="38.25">
      <c r="A22" s="12" t="s">
        <v>394</v>
      </c>
      <c r="B22" s="13" t="s">
        <v>22</v>
      </c>
      <c r="C22" s="14" t="s">
        <v>270</v>
      </c>
      <c r="D22" s="15" t="s">
        <v>271</v>
      </c>
      <c r="E22" s="182" t="s">
        <v>17</v>
      </c>
      <c r="F22" s="268">
        <v>1</v>
      </c>
      <c r="G22" s="96">
        <v>11.27</v>
      </c>
      <c r="H22" s="96">
        <v>2.82</v>
      </c>
      <c r="I22" s="239">
        <f t="shared" si="0"/>
        <v>14.09</v>
      </c>
      <c r="J22" s="244">
        <f t="shared" si="9"/>
        <v>13.56</v>
      </c>
      <c r="K22" s="89">
        <f t="shared" si="10"/>
        <v>3.39</v>
      </c>
      <c r="L22" s="239">
        <f t="shared" si="1"/>
        <v>16.95</v>
      </c>
      <c r="M22" s="244">
        <f t="shared" si="6"/>
        <v>13.56</v>
      </c>
      <c r="N22" s="89">
        <f t="shared" si="7"/>
        <v>3.39</v>
      </c>
      <c r="O22" s="16">
        <f t="shared" si="2"/>
        <v>16.95</v>
      </c>
      <c r="P22" s="5"/>
      <c r="Q22" s="88"/>
    </row>
    <row r="23" spans="1:17" ht="38.25">
      <c r="A23" s="12" t="s">
        <v>395</v>
      </c>
      <c r="B23" s="13" t="s">
        <v>22</v>
      </c>
      <c r="C23" s="14" t="s">
        <v>225</v>
      </c>
      <c r="D23" s="15" t="s">
        <v>226</v>
      </c>
      <c r="E23" s="182" t="s">
        <v>17</v>
      </c>
      <c r="F23" s="268">
        <v>8</v>
      </c>
      <c r="G23" s="96">
        <v>17.100000000000001</v>
      </c>
      <c r="H23" s="96">
        <v>3.58</v>
      </c>
      <c r="I23" s="239">
        <f t="shared" si="0"/>
        <v>20.68</v>
      </c>
      <c r="J23" s="244">
        <f t="shared" si="9"/>
        <v>20.58</v>
      </c>
      <c r="K23" s="89">
        <f t="shared" si="10"/>
        <v>4.3099999999999996</v>
      </c>
      <c r="L23" s="239">
        <f t="shared" si="1"/>
        <v>24.889999999999997</v>
      </c>
      <c r="M23" s="244">
        <f t="shared" si="6"/>
        <v>164.64</v>
      </c>
      <c r="N23" s="89">
        <f t="shared" si="7"/>
        <v>34.479999999999997</v>
      </c>
      <c r="O23" s="16">
        <f t="shared" ref="O23:O25" si="11">M23+N23</f>
        <v>199.11999999999998</v>
      </c>
      <c r="P23" s="5"/>
      <c r="Q23" s="88"/>
    </row>
    <row r="24" spans="1:17" ht="38.25">
      <c r="A24" s="12" t="s">
        <v>396</v>
      </c>
      <c r="B24" s="13" t="s">
        <v>22</v>
      </c>
      <c r="C24" s="14" t="s">
        <v>229</v>
      </c>
      <c r="D24" s="15" t="s">
        <v>230</v>
      </c>
      <c r="E24" s="182" t="s">
        <v>17</v>
      </c>
      <c r="F24" s="268">
        <v>24</v>
      </c>
      <c r="G24" s="96">
        <f>11.7+799.78</f>
        <v>811.48</v>
      </c>
      <c r="H24" s="96">
        <v>12.59</v>
      </c>
      <c r="I24" s="239">
        <f t="shared" si="0"/>
        <v>824.07</v>
      </c>
      <c r="J24" s="244">
        <f t="shared" si="9"/>
        <v>976.54</v>
      </c>
      <c r="K24" s="89">
        <f t="shared" si="10"/>
        <v>15.15</v>
      </c>
      <c r="L24" s="239">
        <f t="shared" si="1"/>
        <v>991.68999999999994</v>
      </c>
      <c r="M24" s="244">
        <f t="shared" si="6"/>
        <v>23436.959999999999</v>
      </c>
      <c r="N24" s="89">
        <f t="shared" si="7"/>
        <v>363.6</v>
      </c>
      <c r="O24" s="16">
        <f t="shared" si="11"/>
        <v>23800.559999999998</v>
      </c>
      <c r="P24" s="5"/>
      <c r="Q24" s="88"/>
    </row>
    <row r="25" spans="1:17" ht="51">
      <c r="A25" s="12" t="s">
        <v>397</v>
      </c>
      <c r="B25" s="13" t="s">
        <v>22</v>
      </c>
      <c r="C25" s="14" t="s">
        <v>234</v>
      </c>
      <c r="D25" s="15" t="s">
        <v>235</v>
      </c>
      <c r="E25" s="182" t="s">
        <v>2</v>
      </c>
      <c r="F25" s="268">
        <v>621.19000000000005</v>
      </c>
      <c r="G25" s="96">
        <v>2.99</v>
      </c>
      <c r="H25" s="96">
        <v>0.92</v>
      </c>
      <c r="I25" s="239">
        <f t="shared" ref="I25" si="12">G25+H25</f>
        <v>3.91</v>
      </c>
      <c r="J25" s="244">
        <f t="shared" si="9"/>
        <v>3.6</v>
      </c>
      <c r="K25" s="89">
        <f t="shared" si="10"/>
        <v>1.1100000000000001</v>
      </c>
      <c r="L25" s="239">
        <f t="shared" si="1"/>
        <v>4.71</v>
      </c>
      <c r="M25" s="244">
        <f t="shared" si="6"/>
        <v>2236.2800000000002</v>
      </c>
      <c r="N25" s="89">
        <f t="shared" si="7"/>
        <v>689.52</v>
      </c>
      <c r="O25" s="16">
        <f t="shared" si="11"/>
        <v>2925.8</v>
      </c>
      <c r="P25" s="5"/>
      <c r="Q25" s="88"/>
    </row>
    <row r="26" spans="1:17" ht="38.25">
      <c r="A26" s="12" t="s">
        <v>398</v>
      </c>
      <c r="B26" s="13" t="s">
        <v>22</v>
      </c>
      <c r="C26" s="14" t="s">
        <v>237</v>
      </c>
      <c r="D26" s="15" t="s">
        <v>236</v>
      </c>
      <c r="E26" s="182" t="s">
        <v>2</v>
      </c>
      <c r="F26" s="268">
        <v>233.92</v>
      </c>
      <c r="G26" s="96">
        <v>12.23</v>
      </c>
      <c r="H26" s="96">
        <v>2.38</v>
      </c>
      <c r="I26" s="239">
        <f t="shared" si="0"/>
        <v>14.61</v>
      </c>
      <c r="J26" s="244">
        <f t="shared" si="9"/>
        <v>14.72</v>
      </c>
      <c r="K26" s="89">
        <f t="shared" si="10"/>
        <v>2.86</v>
      </c>
      <c r="L26" s="239">
        <f t="shared" si="1"/>
        <v>17.580000000000002</v>
      </c>
      <c r="M26" s="244">
        <f t="shared" si="6"/>
        <v>3443.3</v>
      </c>
      <c r="N26" s="89">
        <f t="shared" si="7"/>
        <v>669.01</v>
      </c>
      <c r="O26" s="16">
        <f t="shared" ref="O26:O33" si="13">M26+N26</f>
        <v>4112.3100000000004</v>
      </c>
      <c r="P26" s="5"/>
      <c r="Q26" s="88"/>
    </row>
    <row r="27" spans="1:17" ht="51">
      <c r="A27" s="12" t="s">
        <v>399</v>
      </c>
      <c r="B27" s="13" t="s">
        <v>22</v>
      </c>
      <c r="C27" s="14" t="s">
        <v>238</v>
      </c>
      <c r="D27" s="15" t="s">
        <v>239</v>
      </c>
      <c r="E27" s="182" t="s">
        <v>17</v>
      </c>
      <c r="F27" s="268">
        <v>1</v>
      </c>
      <c r="G27" s="96">
        <f>3.77+1056.69</f>
        <v>1060.46</v>
      </c>
      <c r="H27" s="96">
        <v>265.94</v>
      </c>
      <c r="I27" s="239">
        <f t="shared" si="0"/>
        <v>1326.4</v>
      </c>
      <c r="J27" s="244">
        <f t="shared" si="9"/>
        <v>1276.1600000000001</v>
      </c>
      <c r="K27" s="89">
        <f t="shared" si="10"/>
        <v>320.02999999999997</v>
      </c>
      <c r="L27" s="239">
        <f t="shared" si="1"/>
        <v>1596.19</v>
      </c>
      <c r="M27" s="244">
        <f t="shared" si="6"/>
        <v>1276.1600000000001</v>
      </c>
      <c r="N27" s="89">
        <f t="shared" si="7"/>
        <v>320.02999999999997</v>
      </c>
      <c r="O27" s="16">
        <f t="shared" si="13"/>
        <v>1596.19</v>
      </c>
      <c r="P27" s="5"/>
      <c r="Q27" s="88"/>
    </row>
    <row r="28" spans="1:17" ht="38.25">
      <c r="A28" s="12" t="s">
        <v>400</v>
      </c>
      <c r="B28" s="13" t="s">
        <v>22</v>
      </c>
      <c r="C28" s="14" t="s">
        <v>374</v>
      </c>
      <c r="D28" s="15" t="s">
        <v>388</v>
      </c>
      <c r="E28" s="182" t="s">
        <v>17</v>
      </c>
      <c r="F28" s="268">
        <v>1</v>
      </c>
      <c r="G28" s="96">
        <v>50.55</v>
      </c>
      <c r="H28" s="96">
        <v>6.53</v>
      </c>
      <c r="I28" s="239">
        <f t="shared" ref="I28" si="14">G28+H28</f>
        <v>57.08</v>
      </c>
      <c r="J28" s="244">
        <f t="shared" si="9"/>
        <v>60.83</v>
      </c>
      <c r="K28" s="89">
        <f t="shared" si="10"/>
        <v>7.86</v>
      </c>
      <c r="L28" s="239">
        <f t="shared" si="1"/>
        <v>68.69</v>
      </c>
      <c r="M28" s="244">
        <f t="shared" si="6"/>
        <v>60.83</v>
      </c>
      <c r="N28" s="89">
        <f t="shared" si="7"/>
        <v>7.86</v>
      </c>
      <c r="O28" s="16">
        <f t="shared" ref="O28" si="15">M28+N28</f>
        <v>68.69</v>
      </c>
      <c r="P28" s="5"/>
      <c r="Q28" s="88"/>
    </row>
    <row r="29" spans="1:17" ht="25.5">
      <c r="A29" s="12" t="s">
        <v>401</v>
      </c>
      <c r="B29" s="13" t="s">
        <v>22</v>
      </c>
      <c r="C29" s="14" t="s">
        <v>375</v>
      </c>
      <c r="D29" s="15" t="s">
        <v>389</v>
      </c>
      <c r="E29" s="182" t="s">
        <v>17</v>
      </c>
      <c r="F29" s="268">
        <v>1</v>
      </c>
      <c r="G29" s="96">
        <v>80.23</v>
      </c>
      <c r="H29" s="96">
        <v>7.88</v>
      </c>
      <c r="I29" s="239">
        <f t="shared" ref="I29" si="16">G29+H29</f>
        <v>88.11</v>
      </c>
      <c r="J29" s="244">
        <f t="shared" si="9"/>
        <v>96.55</v>
      </c>
      <c r="K29" s="89">
        <f t="shared" si="10"/>
        <v>9.48</v>
      </c>
      <c r="L29" s="239">
        <f t="shared" si="1"/>
        <v>106.03</v>
      </c>
      <c r="M29" s="244">
        <f t="shared" si="6"/>
        <v>96.55</v>
      </c>
      <c r="N29" s="89">
        <f t="shared" si="7"/>
        <v>9.48</v>
      </c>
      <c r="O29" s="16">
        <f t="shared" ref="O29" si="17">M29+N29</f>
        <v>106.03</v>
      </c>
      <c r="P29" s="5"/>
      <c r="Q29" s="88"/>
    </row>
    <row r="30" spans="1:17" ht="51">
      <c r="A30" s="12" t="s">
        <v>402</v>
      </c>
      <c r="B30" s="13" t="s">
        <v>94</v>
      </c>
      <c r="C30" s="14" t="s">
        <v>181</v>
      </c>
      <c r="D30" s="15" t="s">
        <v>241</v>
      </c>
      <c r="E30" s="182" t="s">
        <v>17</v>
      </c>
      <c r="F30" s="268">
        <v>1</v>
      </c>
      <c r="G30" s="96">
        <f>Composição!F78</f>
        <v>1089.69</v>
      </c>
      <c r="H30" s="96">
        <f>Composição!F79</f>
        <v>149.04</v>
      </c>
      <c r="I30" s="239">
        <f t="shared" si="0"/>
        <v>1238.73</v>
      </c>
      <c r="J30" s="244">
        <f t="shared" si="9"/>
        <v>1311.33</v>
      </c>
      <c r="K30" s="89">
        <f t="shared" si="10"/>
        <v>179.35</v>
      </c>
      <c r="L30" s="239">
        <f t="shared" si="1"/>
        <v>1490.6799999999998</v>
      </c>
      <c r="M30" s="244">
        <f t="shared" si="6"/>
        <v>1311.33</v>
      </c>
      <c r="N30" s="89">
        <f t="shared" si="7"/>
        <v>179.35</v>
      </c>
      <c r="O30" s="16">
        <f t="shared" si="13"/>
        <v>1490.6799999999998</v>
      </c>
      <c r="P30" s="5"/>
      <c r="Q30" s="88"/>
    </row>
    <row r="31" spans="1:17" ht="76.5">
      <c r="A31" s="12" t="s">
        <v>403</v>
      </c>
      <c r="B31" s="13" t="s">
        <v>22</v>
      </c>
      <c r="C31" s="14" t="s">
        <v>255</v>
      </c>
      <c r="D31" s="15" t="s">
        <v>256</v>
      </c>
      <c r="E31" s="182" t="s">
        <v>1</v>
      </c>
      <c r="F31" s="268">
        <v>25</v>
      </c>
      <c r="G31" s="96">
        <f>3.07+2.31</f>
        <v>5.38</v>
      </c>
      <c r="H31" s="96">
        <v>3.21</v>
      </c>
      <c r="I31" s="239">
        <f t="shared" si="0"/>
        <v>8.59</v>
      </c>
      <c r="J31" s="244">
        <f t="shared" si="9"/>
        <v>6.47</v>
      </c>
      <c r="K31" s="89">
        <f t="shared" si="10"/>
        <v>3.86</v>
      </c>
      <c r="L31" s="239">
        <f t="shared" si="1"/>
        <v>10.33</v>
      </c>
      <c r="M31" s="244">
        <f t="shared" si="6"/>
        <v>161.75</v>
      </c>
      <c r="N31" s="89">
        <f t="shared" si="7"/>
        <v>96.5</v>
      </c>
      <c r="O31" s="16">
        <f t="shared" si="13"/>
        <v>258.25</v>
      </c>
      <c r="P31" s="5"/>
      <c r="Q31" s="88"/>
    </row>
    <row r="32" spans="1:17" ht="76.5">
      <c r="A32" s="12" t="s">
        <v>404</v>
      </c>
      <c r="B32" s="13" t="s">
        <v>22</v>
      </c>
      <c r="C32" s="14" t="s">
        <v>257</v>
      </c>
      <c r="D32" s="15" t="s">
        <v>258</v>
      </c>
      <c r="E32" s="182" t="s">
        <v>1</v>
      </c>
      <c r="F32" s="268">
        <v>25</v>
      </c>
      <c r="G32" s="96">
        <f>2.21+3.03</f>
        <v>5.24</v>
      </c>
      <c r="H32" s="96">
        <v>4.3099999999999996</v>
      </c>
      <c r="I32" s="239">
        <f t="shared" si="0"/>
        <v>9.5500000000000007</v>
      </c>
      <c r="J32" s="244">
        <f t="shared" si="9"/>
        <v>6.31</v>
      </c>
      <c r="K32" s="89">
        <f t="shared" si="10"/>
        <v>5.19</v>
      </c>
      <c r="L32" s="239">
        <f t="shared" si="1"/>
        <v>11.5</v>
      </c>
      <c r="M32" s="244">
        <f t="shared" si="6"/>
        <v>157.75</v>
      </c>
      <c r="N32" s="89">
        <f t="shared" si="7"/>
        <v>129.75</v>
      </c>
      <c r="O32" s="16">
        <f t="shared" ref="O32" si="18">M32+N32</f>
        <v>287.5</v>
      </c>
      <c r="P32" s="5"/>
      <c r="Q32" s="88"/>
    </row>
    <row r="33" spans="1:17" ht="51">
      <c r="A33" s="12" t="s">
        <v>405</v>
      </c>
      <c r="B33" s="13" t="s">
        <v>22</v>
      </c>
      <c r="C33" s="14" t="s">
        <v>253</v>
      </c>
      <c r="D33" s="15" t="s">
        <v>254</v>
      </c>
      <c r="E33" s="182" t="s">
        <v>17</v>
      </c>
      <c r="F33" s="268">
        <v>13</v>
      </c>
      <c r="G33" s="96">
        <f>0.25+87.46</f>
        <v>87.71</v>
      </c>
      <c r="H33" s="96">
        <f>78.49+0.22</f>
        <v>78.709999999999994</v>
      </c>
      <c r="I33" s="239">
        <f t="shared" ref="I33:I35" si="19">G33+H33</f>
        <v>166.42</v>
      </c>
      <c r="J33" s="244">
        <f t="shared" si="9"/>
        <v>105.55</v>
      </c>
      <c r="K33" s="89">
        <f t="shared" si="10"/>
        <v>94.72</v>
      </c>
      <c r="L33" s="239">
        <f t="shared" si="1"/>
        <v>200.26999999999998</v>
      </c>
      <c r="M33" s="244">
        <f t="shared" si="6"/>
        <v>1372.15</v>
      </c>
      <c r="N33" s="89">
        <f t="shared" si="7"/>
        <v>1231.3599999999999</v>
      </c>
      <c r="O33" s="16">
        <f t="shared" si="13"/>
        <v>2603.5100000000002</v>
      </c>
      <c r="P33" s="5"/>
      <c r="Q33" s="88"/>
    </row>
    <row r="34" spans="1:17" ht="25.5">
      <c r="A34" s="12" t="s">
        <v>406</v>
      </c>
      <c r="B34" s="13" t="s">
        <v>22</v>
      </c>
      <c r="C34" s="14" t="s">
        <v>161</v>
      </c>
      <c r="D34" s="15" t="s">
        <v>162</v>
      </c>
      <c r="E34" s="182" t="s">
        <v>1</v>
      </c>
      <c r="F34" s="268">
        <v>7.4999999999999997E-2</v>
      </c>
      <c r="G34" s="96">
        <v>18.89</v>
      </c>
      <c r="H34" s="96">
        <v>55.64</v>
      </c>
      <c r="I34" s="239">
        <f t="shared" si="19"/>
        <v>74.53</v>
      </c>
      <c r="J34" s="244">
        <f t="shared" si="9"/>
        <v>22.73</v>
      </c>
      <c r="K34" s="89">
        <f t="shared" si="10"/>
        <v>66.959999999999994</v>
      </c>
      <c r="L34" s="239">
        <f t="shared" si="1"/>
        <v>89.69</v>
      </c>
      <c r="M34" s="244">
        <f t="shared" si="6"/>
        <v>1.7</v>
      </c>
      <c r="N34" s="89">
        <f t="shared" si="7"/>
        <v>5.0199999999999996</v>
      </c>
      <c r="O34" s="16">
        <f>N34+M34</f>
        <v>6.72</v>
      </c>
      <c r="P34" s="5"/>
      <c r="Q34" s="88"/>
    </row>
    <row r="35" spans="1:17" ht="38.25">
      <c r="A35" s="12" t="s">
        <v>407</v>
      </c>
      <c r="B35" s="13" t="s">
        <v>22</v>
      </c>
      <c r="C35" s="14" t="s">
        <v>168</v>
      </c>
      <c r="D35" s="15" t="s">
        <v>169</v>
      </c>
      <c r="E35" s="182" t="s">
        <v>1</v>
      </c>
      <c r="F35" s="268">
        <v>7.4999999999999997E-2</v>
      </c>
      <c r="G35" s="96">
        <f>0.7+303.77</f>
        <v>304.46999999999997</v>
      </c>
      <c r="H35" s="96">
        <f>59.79+0.99</f>
        <v>60.78</v>
      </c>
      <c r="I35" s="239">
        <f t="shared" si="19"/>
        <v>365.25</v>
      </c>
      <c r="J35" s="244">
        <f t="shared" si="9"/>
        <v>366.4</v>
      </c>
      <c r="K35" s="89">
        <f t="shared" si="10"/>
        <v>73.14</v>
      </c>
      <c r="L35" s="239">
        <f t="shared" si="1"/>
        <v>439.53999999999996</v>
      </c>
      <c r="M35" s="244">
        <f t="shared" si="6"/>
        <v>27.48</v>
      </c>
      <c r="N35" s="89">
        <f t="shared" si="7"/>
        <v>5.49</v>
      </c>
      <c r="O35" s="16">
        <f>N35+M35</f>
        <v>32.97</v>
      </c>
      <c r="P35" s="5"/>
      <c r="Q35" s="88"/>
    </row>
    <row r="36" spans="1:17" ht="38.25">
      <c r="A36" s="12" t="s">
        <v>408</v>
      </c>
      <c r="B36" s="13" t="s">
        <v>22</v>
      </c>
      <c r="C36" s="14" t="s">
        <v>45</v>
      </c>
      <c r="D36" s="15" t="s">
        <v>44</v>
      </c>
      <c r="E36" s="182" t="s">
        <v>0</v>
      </c>
      <c r="F36" s="268">
        <v>0.75</v>
      </c>
      <c r="G36" s="96">
        <v>94.52</v>
      </c>
      <c r="H36" s="96">
        <f>38.07+0.2</f>
        <v>38.270000000000003</v>
      </c>
      <c r="I36" s="239">
        <f t="shared" ref="I36:I41" si="20">G36+H36</f>
        <v>132.79</v>
      </c>
      <c r="J36" s="244">
        <f t="shared" si="9"/>
        <v>113.75</v>
      </c>
      <c r="K36" s="89">
        <f t="shared" si="10"/>
        <v>46.05</v>
      </c>
      <c r="L36" s="239">
        <f t="shared" si="1"/>
        <v>159.80000000000001</v>
      </c>
      <c r="M36" s="244">
        <f t="shared" si="6"/>
        <v>85.31</v>
      </c>
      <c r="N36" s="89">
        <f t="shared" si="7"/>
        <v>34.54</v>
      </c>
      <c r="O36" s="16">
        <f t="shared" ref="O36:O41" si="21">N36+M36</f>
        <v>119.85</v>
      </c>
      <c r="P36" s="5"/>
      <c r="Q36" s="88"/>
    </row>
    <row r="37" spans="1:17" ht="51">
      <c r="A37" s="12" t="s">
        <v>409</v>
      </c>
      <c r="B37" s="13" t="s">
        <v>22</v>
      </c>
      <c r="C37" s="14" t="s">
        <v>273</v>
      </c>
      <c r="D37" s="15" t="s">
        <v>272</v>
      </c>
      <c r="E37" s="182" t="s">
        <v>0</v>
      </c>
      <c r="F37" s="268">
        <v>4</v>
      </c>
      <c r="G37" s="96">
        <f>0.02+75.74</f>
        <v>75.759999999999991</v>
      </c>
      <c r="H37" s="96">
        <f>50.67+0.03</f>
        <v>50.7</v>
      </c>
      <c r="I37" s="239">
        <f t="shared" si="20"/>
        <v>126.46</v>
      </c>
      <c r="J37" s="244">
        <f t="shared" si="9"/>
        <v>91.17</v>
      </c>
      <c r="K37" s="89">
        <f t="shared" si="10"/>
        <v>61.01</v>
      </c>
      <c r="L37" s="239">
        <f t="shared" si="1"/>
        <v>152.18</v>
      </c>
      <c r="M37" s="244">
        <f t="shared" si="6"/>
        <v>364.68</v>
      </c>
      <c r="N37" s="89">
        <f t="shared" si="7"/>
        <v>244.04</v>
      </c>
      <c r="O37" s="16">
        <f t="shared" si="21"/>
        <v>608.72</v>
      </c>
      <c r="P37" s="5"/>
      <c r="Q37" s="88"/>
    </row>
    <row r="38" spans="1:17" ht="51">
      <c r="A38" s="12" t="s">
        <v>410</v>
      </c>
      <c r="B38" s="13" t="s">
        <v>22</v>
      </c>
      <c r="C38" s="14" t="s">
        <v>274</v>
      </c>
      <c r="D38" s="15" t="s">
        <v>275</v>
      </c>
      <c r="E38" s="182" t="s">
        <v>0</v>
      </c>
      <c r="F38" s="268">
        <v>5</v>
      </c>
      <c r="G38" s="96">
        <v>2.09</v>
      </c>
      <c r="H38" s="96">
        <v>2.04</v>
      </c>
      <c r="I38" s="239">
        <f t="shared" si="20"/>
        <v>4.13</v>
      </c>
      <c r="J38" s="244">
        <f t="shared" si="9"/>
        <v>2.52</v>
      </c>
      <c r="K38" s="89">
        <f t="shared" si="10"/>
        <v>2.4500000000000002</v>
      </c>
      <c r="L38" s="239">
        <f t="shared" si="1"/>
        <v>4.9700000000000006</v>
      </c>
      <c r="M38" s="244">
        <f t="shared" si="6"/>
        <v>12.6</v>
      </c>
      <c r="N38" s="89">
        <f t="shared" si="7"/>
        <v>12.25</v>
      </c>
      <c r="O38" s="16">
        <f t="shared" si="21"/>
        <v>24.85</v>
      </c>
      <c r="P38" s="5"/>
      <c r="Q38" s="88"/>
    </row>
    <row r="39" spans="1:17" ht="63.75">
      <c r="A39" s="12" t="s">
        <v>411</v>
      </c>
      <c r="B39" s="13" t="s">
        <v>22</v>
      </c>
      <c r="C39" s="14" t="s">
        <v>276</v>
      </c>
      <c r="D39" s="15" t="s">
        <v>277</v>
      </c>
      <c r="E39" s="182" t="s">
        <v>0</v>
      </c>
      <c r="F39" s="268">
        <v>5</v>
      </c>
      <c r="G39" s="96">
        <f>0.05+16.77</f>
        <v>16.82</v>
      </c>
      <c r="H39" s="96">
        <f>13.95+0.05</f>
        <v>14</v>
      </c>
      <c r="I39" s="239">
        <f t="shared" si="20"/>
        <v>30.82</v>
      </c>
      <c r="J39" s="244">
        <f t="shared" si="9"/>
        <v>20.239999999999998</v>
      </c>
      <c r="K39" s="89">
        <f t="shared" si="10"/>
        <v>16.850000000000001</v>
      </c>
      <c r="L39" s="239">
        <f t="shared" si="1"/>
        <v>37.090000000000003</v>
      </c>
      <c r="M39" s="244">
        <f t="shared" si="6"/>
        <v>101.2</v>
      </c>
      <c r="N39" s="89">
        <f t="shared" si="7"/>
        <v>84.25</v>
      </c>
      <c r="O39" s="16">
        <f t="shared" si="21"/>
        <v>185.45</v>
      </c>
      <c r="P39" s="5"/>
      <c r="Q39" s="88"/>
    </row>
    <row r="40" spans="1:17" ht="25.5">
      <c r="A40" s="12" t="s">
        <v>412</v>
      </c>
      <c r="B40" s="13" t="s">
        <v>22</v>
      </c>
      <c r="C40" s="14" t="s">
        <v>278</v>
      </c>
      <c r="D40" s="15" t="s">
        <v>279</v>
      </c>
      <c r="E40" s="182" t="s">
        <v>0</v>
      </c>
      <c r="F40" s="268">
        <v>5</v>
      </c>
      <c r="G40" s="96">
        <v>1.36</v>
      </c>
      <c r="H40" s="96">
        <v>0.89</v>
      </c>
      <c r="I40" s="239">
        <f t="shared" si="20"/>
        <v>2.25</v>
      </c>
      <c r="J40" s="244">
        <f t="shared" si="9"/>
        <v>1.64</v>
      </c>
      <c r="K40" s="89">
        <f t="shared" si="10"/>
        <v>1.07</v>
      </c>
      <c r="L40" s="239">
        <f t="shared" si="1"/>
        <v>2.71</v>
      </c>
      <c r="M40" s="244">
        <f t="shared" si="6"/>
        <v>8.1999999999999993</v>
      </c>
      <c r="N40" s="89">
        <f t="shared" si="7"/>
        <v>5.35</v>
      </c>
      <c r="O40" s="16">
        <f t="shared" si="21"/>
        <v>13.549999999999999</v>
      </c>
      <c r="P40" s="5"/>
      <c r="Q40" s="88"/>
    </row>
    <row r="41" spans="1:17" ht="25.5">
      <c r="A41" s="12" t="s">
        <v>413</v>
      </c>
      <c r="B41" s="13" t="s">
        <v>22</v>
      </c>
      <c r="C41" s="14" t="s">
        <v>280</v>
      </c>
      <c r="D41" s="15" t="s">
        <v>281</v>
      </c>
      <c r="E41" s="182" t="s">
        <v>0</v>
      </c>
      <c r="F41" s="268">
        <v>5</v>
      </c>
      <c r="G41" s="96">
        <v>9.7100000000000009</v>
      </c>
      <c r="H41" s="96">
        <v>4.28</v>
      </c>
      <c r="I41" s="239">
        <f t="shared" si="20"/>
        <v>13.990000000000002</v>
      </c>
      <c r="J41" s="244">
        <f t="shared" si="9"/>
        <v>11.69</v>
      </c>
      <c r="K41" s="89">
        <f t="shared" si="10"/>
        <v>5.15</v>
      </c>
      <c r="L41" s="239">
        <f t="shared" si="1"/>
        <v>16.84</v>
      </c>
      <c r="M41" s="244">
        <f t="shared" si="6"/>
        <v>58.45</v>
      </c>
      <c r="N41" s="89">
        <f t="shared" si="7"/>
        <v>25.75</v>
      </c>
      <c r="O41" s="16">
        <f t="shared" si="21"/>
        <v>84.2</v>
      </c>
      <c r="P41" s="5"/>
      <c r="Q41" s="88"/>
    </row>
    <row r="42" spans="1:17" s="1" customFormat="1" ht="15" customHeight="1">
      <c r="A42" s="17" t="s">
        <v>21</v>
      </c>
      <c r="B42" s="285" t="s">
        <v>348</v>
      </c>
      <c r="C42" s="285"/>
      <c r="D42" s="285"/>
      <c r="E42" s="285"/>
      <c r="F42" s="18"/>
      <c r="G42" s="18"/>
      <c r="H42" s="18"/>
      <c r="I42" s="237"/>
      <c r="J42" s="245"/>
      <c r="K42" s="238"/>
      <c r="L42" s="240"/>
      <c r="M42" s="245"/>
      <c r="N42" s="238"/>
      <c r="O42" s="19">
        <f>SUM(O43:O62)</f>
        <v>206750.26999999996</v>
      </c>
      <c r="P42" s="5"/>
      <c r="Q42" s="88"/>
    </row>
    <row r="43" spans="1:17" ht="38.25">
      <c r="A43" s="12" t="s">
        <v>193</v>
      </c>
      <c r="B43" s="13" t="s">
        <v>22</v>
      </c>
      <c r="C43" s="14" t="s">
        <v>462</v>
      </c>
      <c r="D43" s="15" t="s">
        <v>463</v>
      </c>
      <c r="E43" s="182" t="s">
        <v>1</v>
      </c>
      <c r="F43" s="268">
        <f>Cálculos!B140</f>
        <v>36.24</v>
      </c>
      <c r="G43" s="96">
        <f>17.98+7.08</f>
        <v>25.060000000000002</v>
      </c>
      <c r="H43" s="96">
        <v>13.99</v>
      </c>
      <c r="I43" s="239">
        <f t="shared" ref="I43:I48" si="22">G43+H43</f>
        <v>39.050000000000004</v>
      </c>
      <c r="J43" s="244">
        <f>ROUND((G43*$D$5),2)</f>
        <v>30.16</v>
      </c>
      <c r="K43" s="89">
        <f>ROUND((H43*$D$5),2)</f>
        <v>16.84</v>
      </c>
      <c r="L43" s="239">
        <f t="shared" ref="L43:L62" si="23">J43+K43</f>
        <v>47</v>
      </c>
      <c r="M43" s="244">
        <f t="shared" si="6"/>
        <v>1093</v>
      </c>
      <c r="N43" s="89">
        <f t="shared" si="7"/>
        <v>610.28</v>
      </c>
      <c r="O43" s="16">
        <f t="shared" ref="O43" si="24">SUM(M43:N43)</f>
        <v>1703.28</v>
      </c>
      <c r="P43" s="5"/>
      <c r="Q43" s="88"/>
    </row>
    <row r="44" spans="1:17" ht="51">
      <c r="A44" s="12" t="s">
        <v>194</v>
      </c>
      <c r="B44" s="13" t="s">
        <v>22</v>
      </c>
      <c r="C44" s="14" t="s">
        <v>464</v>
      </c>
      <c r="D44" s="15" t="s">
        <v>465</v>
      </c>
      <c r="E44" s="182" t="s">
        <v>0</v>
      </c>
      <c r="F44" s="268">
        <f>Cálculos!B134</f>
        <v>115.98</v>
      </c>
      <c r="G44" s="96">
        <v>44.15</v>
      </c>
      <c r="H44" s="96">
        <f>42.15+0.04</f>
        <v>42.19</v>
      </c>
      <c r="I44" s="239">
        <f t="shared" si="22"/>
        <v>86.34</v>
      </c>
      <c r="J44" s="244">
        <f t="shared" ref="J44:J48" si="25">ROUND((G44*$D$5),2)</f>
        <v>53.13</v>
      </c>
      <c r="K44" s="89">
        <f t="shared" ref="K44:K47" si="26">ROUND((H44*$D$5),2)</f>
        <v>50.77</v>
      </c>
      <c r="L44" s="239">
        <f t="shared" si="23"/>
        <v>103.9</v>
      </c>
      <c r="M44" s="244">
        <f t="shared" si="6"/>
        <v>6162.02</v>
      </c>
      <c r="N44" s="89">
        <f t="shared" si="7"/>
        <v>5888.3</v>
      </c>
      <c r="O44" s="16">
        <f t="shared" ref="O44:O46" si="27">SUM(M44:N44)</f>
        <v>12050.32</v>
      </c>
      <c r="P44" s="5"/>
      <c r="Q44" s="88"/>
    </row>
    <row r="45" spans="1:17" ht="38.25">
      <c r="A45" s="12" t="s">
        <v>195</v>
      </c>
      <c r="B45" s="13" t="s">
        <v>22</v>
      </c>
      <c r="C45" s="14" t="s">
        <v>466</v>
      </c>
      <c r="D45" s="15" t="s">
        <v>467</v>
      </c>
      <c r="E45" s="182" t="s">
        <v>41</v>
      </c>
      <c r="F45" s="268">
        <f>Cálculos!B173</f>
        <v>148.76</v>
      </c>
      <c r="G45" s="96">
        <v>12.65</v>
      </c>
      <c r="H45" s="96">
        <v>5.74</v>
      </c>
      <c r="I45" s="239">
        <f t="shared" si="22"/>
        <v>18.39</v>
      </c>
      <c r="J45" s="244">
        <f t="shared" si="25"/>
        <v>15.22</v>
      </c>
      <c r="K45" s="89">
        <f t="shared" si="26"/>
        <v>6.91</v>
      </c>
      <c r="L45" s="239">
        <f t="shared" si="23"/>
        <v>22.130000000000003</v>
      </c>
      <c r="M45" s="244">
        <f t="shared" si="6"/>
        <v>2264.13</v>
      </c>
      <c r="N45" s="89">
        <f t="shared" si="7"/>
        <v>1027.93</v>
      </c>
      <c r="O45" s="16">
        <f t="shared" si="27"/>
        <v>3292.0600000000004</v>
      </c>
      <c r="P45" s="5"/>
      <c r="Q45" s="88"/>
    </row>
    <row r="46" spans="1:17" ht="38.25">
      <c r="A46" s="12" t="s">
        <v>414</v>
      </c>
      <c r="B46" s="13" t="s">
        <v>22</v>
      </c>
      <c r="C46" s="14" t="s">
        <v>468</v>
      </c>
      <c r="D46" s="15" t="s">
        <v>471</v>
      </c>
      <c r="E46" s="182" t="s">
        <v>41</v>
      </c>
      <c r="F46" s="268">
        <v>357.79</v>
      </c>
      <c r="G46" s="96">
        <v>10.72</v>
      </c>
      <c r="H46" s="96">
        <v>1.6</v>
      </c>
      <c r="I46" s="239">
        <f t="shared" si="22"/>
        <v>12.32</v>
      </c>
      <c r="J46" s="244">
        <f t="shared" si="25"/>
        <v>12.9</v>
      </c>
      <c r="K46" s="89">
        <f t="shared" si="26"/>
        <v>1.93</v>
      </c>
      <c r="L46" s="239">
        <f t="shared" si="23"/>
        <v>14.83</v>
      </c>
      <c r="M46" s="244">
        <f t="shared" si="6"/>
        <v>4615.49</v>
      </c>
      <c r="N46" s="89">
        <f t="shared" si="7"/>
        <v>690.53</v>
      </c>
      <c r="O46" s="16">
        <f t="shared" si="27"/>
        <v>5306.0199999999995</v>
      </c>
      <c r="P46" s="5"/>
      <c r="Q46" s="88"/>
    </row>
    <row r="47" spans="1:17" ht="38.25">
      <c r="A47" s="12" t="s">
        <v>415</v>
      </c>
      <c r="B47" s="13" t="s">
        <v>94</v>
      </c>
      <c r="C47" s="14" t="s">
        <v>505</v>
      </c>
      <c r="D47" s="15" t="s">
        <v>506</v>
      </c>
      <c r="E47" s="182" t="s">
        <v>1</v>
      </c>
      <c r="F47" s="268">
        <f>Cálculos!B128</f>
        <v>8.6999999999999993</v>
      </c>
      <c r="G47" s="96">
        <f>Composição!F157</f>
        <v>481.93</v>
      </c>
      <c r="H47" s="96">
        <f>Composição!F158</f>
        <v>18.52</v>
      </c>
      <c r="I47" s="239">
        <f t="shared" si="22"/>
        <v>500.45</v>
      </c>
      <c r="J47" s="244">
        <f t="shared" si="25"/>
        <v>579.95000000000005</v>
      </c>
      <c r="K47" s="89">
        <f t="shared" si="26"/>
        <v>22.29</v>
      </c>
      <c r="L47" s="239">
        <f t="shared" si="23"/>
        <v>602.24</v>
      </c>
      <c r="M47" s="244">
        <f t="shared" si="6"/>
        <v>5045.57</v>
      </c>
      <c r="N47" s="89">
        <f t="shared" si="7"/>
        <v>193.92</v>
      </c>
      <c r="O47" s="16">
        <f t="shared" ref="O47" si="28">SUM(M47:N47)</f>
        <v>5239.49</v>
      </c>
      <c r="P47" s="5"/>
      <c r="Q47" s="88"/>
    </row>
    <row r="48" spans="1:17" ht="76.5">
      <c r="A48" s="12" t="s">
        <v>416</v>
      </c>
      <c r="B48" s="13" t="s">
        <v>22</v>
      </c>
      <c r="C48" s="14" t="s">
        <v>472</v>
      </c>
      <c r="D48" s="15" t="s">
        <v>473</v>
      </c>
      <c r="E48" s="182" t="s">
        <v>1</v>
      </c>
      <c r="F48" s="268">
        <v>27.54</v>
      </c>
      <c r="G48" s="96">
        <f>4.7+2.96</f>
        <v>7.66</v>
      </c>
      <c r="H48" s="96">
        <v>2.81</v>
      </c>
      <c r="I48" s="239">
        <f t="shared" si="22"/>
        <v>10.47</v>
      </c>
      <c r="J48" s="244">
        <f t="shared" si="25"/>
        <v>9.2200000000000006</v>
      </c>
      <c r="K48" s="89">
        <f t="shared" ref="K48" si="29">ROUND((H48*$D$5),2)</f>
        <v>3.38</v>
      </c>
      <c r="L48" s="239">
        <f t="shared" si="23"/>
        <v>12.600000000000001</v>
      </c>
      <c r="M48" s="244">
        <f t="shared" ref="M48" si="30">ROUND((J48*F48),2)</f>
        <v>253.92</v>
      </c>
      <c r="N48" s="89">
        <f t="shared" ref="N48" si="31">ROUND((K48*F48),2)</f>
        <v>93.09</v>
      </c>
      <c r="O48" s="16">
        <f t="shared" ref="O48" si="32">SUM(M48:N48)</f>
        <v>347.01</v>
      </c>
      <c r="P48" s="5"/>
      <c r="Q48" s="88"/>
    </row>
    <row r="49" spans="1:17" ht="38.25">
      <c r="A49" s="12" t="s">
        <v>481</v>
      </c>
      <c r="B49" s="13" t="s">
        <v>22</v>
      </c>
      <c r="C49" s="14" t="s">
        <v>524</v>
      </c>
      <c r="D49" s="15" t="s">
        <v>525</v>
      </c>
      <c r="E49" s="182" t="s">
        <v>1</v>
      </c>
      <c r="F49" s="268">
        <v>54.7</v>
      </c>
      <c r="G49" s="96">
        <f>0.04+476.2</f>
        <v>476.24</v>
      </c>
      <c r="H49" s="96">
        <f>13.11+0.06</f>
        <v>13.17</v>
      </c>
      <c r="I49" s="239">
        <f t="shared" si="0"/>
        <v>489.41</v>
      </c>
      <c r="J49" s="244">
        <f>ROUND((G49*$D$5),2)</f>
        <v>573.11</v>
      </c>
      <c r="K49" s="89">
        <f>ROUND((H49*$D$5),2)</f>
        <v>15.85</v>
      </c>
      <c r="L49" s="239">
        <f t="shared" si="23"/>
        <v>588.96</v>
      </c>
      <c r="M49" s="244">
        <f t="shared" si="6"/>
        <v>31349.119999999999</v>
      </c>
      <c r="N49" s="89">
        <f t="shared" si="7"/>
        <v>867</v>
      </c>
      <c r="O49" s="16">
        <f>N49+M49</f>
        <v>32216.12</v>
      </c>
      <c r="P49" s="5"/>
      <c r="Q49" s="88"/>
    </row>
    <row r="50" spans="1:17" ht="25.5">
      <c r="A50" s="12" t="s">
        <v>482</v>
      </c>
      <c r="B50" s="13" t="s">
        <v>22</v>
      </c>
      <c r="C50" s="14" t="s">
        <v>39</v>
      </c>
      <c r="D50" s="15" t="s">
        <v>40</v>
      </c>
      <c r="E50" s="182" t="s">
        <v>41</v>
      </c>
      <c r="F50" s="268">
        <v>890.52</v>
      </c>
      <c r="G50" s="96">
        <v>24.29</v>
      </c>
      <c r="H50" s="96">
        <v>0.91</v>
      </c>
      <c r="I50" s="239">
        <f t="shared" si="0"/>
        <v>25.2</v>
      </c>
      <c r="J50" s="244">
        <f t="shared" ref="J50:J62" si="33">ROUND((G50*$D$5),2)</f>
        <v>29.23</v>
      </c>
      <c r="K50" s="89">
        <f t="shared" ref="K50:K62" si="34">ROUND((H50*$D$5),2)</f>
        <v>1.1000000000000001</v>
      </c>
      <c r="L50" s="239">
        <f t="shared" si="23"/>
        <v>30.330000000000002</v>
      </c>
      <c r="M50" s="244">
        <f t="shared" si="6"/>
        <v>26029.9</v>
      </c>
      <c r="N50" s="89">
        <f t="shared" si="7"/>
        <v>979.57</v>
      </c>
      <c r="O50" s="16">
        <f>M50+N50</f>
        <v>27009.47</v>
      </c>
      <c r="P50" s="5"/>
      <c r="Q50" s="88"/>
    </row>
    <row r="51" spans="1:17" ht="25.5">
      <c r="A51" s="12" t="s">
        <v>483</v>
      </c>
      <c r="B51" s="13" t="s">
        <v>22</v>
      </c>
      <c r="C51" s="14" t="s">
        <v>42</v>
      </c>
      <c r="D51" s="15" t="s">
        <v>43</v>
      </c>
      <c r="E51" s="182" t="s">
        <v>0</v>
      </c>
      <c r="F51" s="268">
        <v>547</v>
      </c>
      <c r="G51" s="96">
        <v>30.79</v>
      </c>
      <c r="H51" s="96">
        <v>1.56</v>
      </c>
      <c r="I51" s="239">
        <f t="shared" si="0"/>
        <v>32.35</v>
      </c>
      <c r="J51" s="244">
        <f t="shared" si="33"/>
        <v>37.049999999999997</v>
      </c>
      <c r="K51" s="89">
        <f t="shared" si="34"/>
        <v>1.88</v>
      </c>
      <c r="L51" s="239">
        <f t="shared" si="23"/>
        <v>38.93</v>
      </c>
      <c r="M51" s="244">
        <f t="shared" si="6"/>
        <v>20266.349999999999</v>
      </c>
      <c r="N51" s="89">
        <f t="shared" si="7"/>
        <v>1028.3599999999999</v>
      </c>
      <c r="O51" s="16">
        <f t="shared" ref="O51" si="35">N51+M51</f>
        <v>21294.71</v>
      </c>
      <c r="P51" s="5"/>
      <c r="Q51" s="88"/>
    </row>
    <row r="52" spans="1:17" ht="25.5">
      <c r="A52" s="12" t="s">
        <v>484</v>
      </c>
      <c r="B52" s="13" t="s">
        <v>94</v>
      </c>
      <c r="C52" s="14" t="s">
        <v>182</v>
      </c>
      <c r="D52" s="15" t="s">
        <v>363</v>
      </c>
      <c r="E52" s="182" t="s">
        <v>2</v>
      </c>
      <c r="F52" s="268">
        <v>334</v>
      </c>
      <c r="G52" s="96">
        <f>Composição!F91</f>
        <v>1.6099999999999999</v>
      </c>
      <c r="H52" s="96">
        <f>Composição!F92</f>
        <v>0.84000000000000008</v>
      </c>
      <c r="I52" s="239">
        <f t="shared" ref="I52:I53" si="36">G52+H52</f>
        <v>2.4500000000000002</v>
      </c>
      <c r="J52" s="244">
        <f t="shared" si="33"/>
        <v>1.94</v>
      </c>
      <c r="K52" s="89">
        <f t="shared" si="34"/>
        <v>1.01</v>
      </c>
      <c r="L52" s="239">
        <f t="shared" si="23"/>
        <v>2.95</v>
      </c>
      <c r="M52" s="244">
        <f t="shared" si="6"/>
        <v>647.96</v>
      </c>
      <c r="N52" s="89">
        <f t="shared" si="7"/>
        <v>337.34</v>
      </c>
      <c r="O52" s="16">
        <f t="shared" ref="O52" si="37">N52+M52</f>
        <v>985.3</v>
      </c>
      <c r="P52" s="5"/>
      <c r="Q52" s="88"/>
    </row>
    <row r="53" spans="1:17">
      <c r="A53" s="12" t="s">
        <v>485</v>
      </c>
      <c r="B53" s="13" t="s">
        <v>94</v>
      </c>
      <c r="C53" s="14" t="s">
        <v>183</v>
      </c>
      <c r="D53" s="15" t="s">
        <v>358</v>
      </c>
      <c r="E53" s="182" t="s">
        <v>0</v>
      </c>
      <c r="F53" s="268">
        <v>594</v>
      </c>
      <c r="G53" s="96">
        <f>Composição!F102</f>
        <v>1.75</v>
      </c>
      <c r="H53" s="96">
        <f>Composição!F103</f>
        <v>0.95</v>
      </c>
      <c r="I53" s="239">
        <f t="shared" si="36"/>
        <v>2.7</v>
      </c>
      <c r="J53" s="244">
        <f t="shared" si="33"/>
        <v>2.11</v>
      </c>
      <c r="K53" s="89">
        <f t="shared" si="34"/>
        <v>1.1399999999999999</v>
      </c>
      <c r="L53" s="239">
        <f t="shared" si="23"/>
        <v>3.25</v>
      </c>
      <c r="M53" s="244">
        <f t="shared" si="6"/>
        <v>1253.3399999999999</v>
      </c>
      <c r="N53" s="89">
        <f t="shared" si="7"/>
        <v>677.16</v>
      </c>
      <c r="O53" s="16">
        <f>N53+M53</f>
        <v>1930.5</v>
      </c>
      <c r="P53" s="5"/>
      <c r="Q53" s="88"/>
    </row>
    <row r="54" spans="1:17" ht="38.25">
      <c r="A54" s="12" t="s">
        <v>417</v>
      </c>
      <c r="B54" s="13" t="s">
        <v>22</v>
      </c>
      <c r="C54" s="14" t="s">
        <v>365</v>
      </c>
      <c r="D54" s="15" t="s">
        <v>366</v>
      </c>
      <c r="E54" s="182" t="s">
        <v>2</v>
      </c>
      <c r="F54" s="268">
        <v>188</v>
      </c>
      <c r="G54" s="96">
        <v>2.79</v>
      </c>
      <c r="H54" s="96">
        <v>5.7</v>
      </c>
      <c r="I54" s="239">
        <f t="shared" ref="I54" si="38">G54+H54</f>
        <v>8.49</v>
      </c>
      <c r="J54" s="244">
        <f t="shared" si="33"/>
        <v>3.36</v>
      </c>
      <c r="K54" s="89">
        <f t="shared" si="34"/>
        <v>6.86</v>
      </c>
      <c r="L54" s="239">
        <f t="shared" si="23"/>
        <v>10.220000000000001</v>
      </c>
      <c r="M54" s="244">
        <f t="shared" si="6"/>
        <v>631.67999999999995</v>
      </c>
      <c r="N54" s="89">
        <f t="shared" si="7"/>
        <v>1289.68</v>
      </c>
      <c r="O54" s="16">
        <f t="shared" ref="O54" si="39">N54+M54</f>
        <v>1921.3600000000001</v>
      </c>
      <c r="P54" s="5"/>
      <c r="Q54" s="88"/>
    </row>
    <row r="55" spans="1:17" ht="38.25">
      <c r="A55" s="12" t="s">
        <v>418</v>
      </c>
      <c r="B55" s="13" t="s">
        <v>22</v>
      </c>
      <c r="C55" s="14" t="s">
        <v>26</v>
      </c>
      <c r="D55" s="15" t="s">
        <v>383</v>
      </c>
      <c r="E55" s="182" t="s">
        <v>1</v>
      </c>
      <c r="F55" s="268">
        <v>49.43</v>
      </c>
      <c r="G55" s="96">
        <f>0.03+86.13</f>
        <v>86.16</v>
      </c>
      <c r="H55" s="96">
        <v>23.23</v>
      </c>
      <c r="I55" s="239">
        <f t="shared" si="0"/>
        <v>109.39</v>
      </c>
      <c r="J55" s="244">
        <f t="shared" si="33"/>
        <v>103.68</v>
      </c>
      <c r="K55" s="89">
        <f t="shared" si="34"/>
        <v>27.95</v>
      </c>
      <c r="L55" s="239">
        <f t="shared" si="23"/>
        <v>131.63</v>
      </c>
      <c r="M55" s="244">
        <f t="shared" si="6"/>
        <v>5124.8999999999996</v>
      </c>
      <c r="N55" s="89">
        <f t="shared" si="7"/>
        <v>1381.57</v>
      </c>
      <c r="O55" s="16">
        <f t="shared" ref="O55:O62" si="40">N55+M55</f>
        <v>6506.4699999999993</v>
      </c>
      <c r="P55" s="5"/>
      <c r="Q55" s="88"/>
    </row>
    <row r="56" spans="1:17">
      <c r="A56" s="12" t="s">
        <v>419</v>
      </c>
      <c r="B56" s="13" t="s">
        <v>94</v>
      </c>
      <c r="C56" s="14" t="s">
        <v>184</v>
      </c>
      <c r="D56" s="15" t="s">
        <v>430</v>
      </c>
      <c r="E56" s="182" t="s">
        <v>1</v>
      </c>
      <c r="F56" s="268">
        <f>F57*0.08</f>
        <v>28.448800000000002</v>
      </c>
      <c r="G56" s="96">
        <f>Composição!F112</f>
        <v>55.940000000000005</v>
      </c>
      <c r="H56" s="96">
        <f>Composição!F113</f>
        <v>29.93</v>
      </c>
      <c r="I56" s="239">
        <f t="shared" ref="I56" si="41">G56+H56</f>
        <v>85.87</v>
      </c>
      <c r="J56" s="244">
        <f t="shared" si="33"/>
        <v>67.319999999999993</v>
      </c>
      <c r="K56" s="89">
        <f t="shared" si="34"/>
        <v>36.020000000000003</v>
      </c>
      <c r="L56" s="239">
        <f t="shared" si="23"/>
        <v>103.34</v>
      </c>
      <c r="M56" s="244">
        <f t="shared" si="6"/>
        <v>1915.17</v>
      </c>
      <c r="N56" s="89">
        <f t="shared" si="7"/>
        <v>1024.73</v>
      </c>
      <c r="O56" s="16">
        <f t="shared" ref="O56" si="42">N56+M56</f>
        <v>2939.9</v>
      </c>
      <c r="P56" s="5"/>
      <c r="Q56" s="88"/>
    </row>
    <row r="57" spans="1:17" ht="38.25">
      <c r="A57" s="12" t="s">
        <v>420</v>
      </c>
      <c r="B57" s="13" t="s">
        <v>22</v>
      </c>
      <c r="C57" s="14" t="s">
        <v>25</v>
      </c>
      <c r="D57" s="15" t="s">
        <v>384</v>
      </c>
      <c r="E57" s="182" t="s">
        <v>0</v>
      </c>
      <c r="F57" s="268">
        <v>355.61</v>
      </c>
      <c r="G57" s="96">
        <f>0.3+52.56</f>
        <v>52.86</v>
      </c>
      <c r="H57" s="96">
        <v>12.1</v>
      </c>
      <c r="I57" s="239">
        <f t="shared" si="0"/>
        <v>64.959999999999994</v>
      </c>
      <c r="J57" s="244">
        <f t="shared" si="33"/>
        <v>63.61</v>
      </c>
      <c r="K57" s="89">
        <f t="shared" si="34"/>
        <v>14.56</v>
      </c>
      <c r="L57" s="239">
        <f t="shared" si="23"/>
        <v>78.17</v>
      </c>
      <c r="M57" s="244">
        <f t="shared" si="6"/>
        <v>22620.35</v>
      </c>
      <c r="N57" s="89">
        <f t="shared" si="7"/>
        <v>5177.68</v>
      </c>
      <c r="O57" s="16">
        <f t="shared" si="40"/>
        <v>27798.03</v>
      </c>
      <c r="P57" s="5"/>
      <c r="Q57" s="88"/>
    </row>
    <row r="58" spans="1:17" ht="76.5">
      <c r="A58" s="12" t="s">
        <v>486</v>
      </c>
      <c r="B58" s="13" t="s">
        <v>22</v>
      </c>
      <c r="C58" s="14" t="s">
        <v>385</v>
      </c>
      <c r="D58" s="15" t="s">
        <v>386</v>
      </c>
      <c r="E58" s="182" t="s">
        <v>2</v>
      </c>
      <c r="F58" s="268">
        <v>714.4</v>
      </c>
      <c r="G58" s="96">
        <v>36.520000000000003</v>
      </c>
      <c r="H58" s="96">
        <v>11.61</v>
      </c>
      <c r="I58" s="239">
        <f t="shared" si="0"/>
        <v>48.13</v>
      </c>
      <c r="J58" s="244">
        <f t="shared" si="33"/>
        <v>43.95</v>
      </c>
      <c r="K58" s="89">
        <f t="shared" si="34"/>
        <v>13.97</v>
      </c>
      <c r="L58" s="239">
        <f t="shared" si="23"/>
        <v>57.92</v>
      </c>
      <c r="M58" s="244">
        <f t="shared" si="6"/>
        <v>31397.88</v>
      </c>
      <c r="N58" s="89">
        <f t="shared" si="7"/>
        <v>9980.17</v>
      </c>
      <c r="O58" s="16">
        <f t="shared" si="40"/>
        <v>41378.050000000003</v>
      </c>
      <c r="P58" s="5"/>
      <c r="Q58" s="88"/>
    </row>
    <row r="59" spans="1:17" ht="38.25">
      <c r="A59" s="12" t="s">
        <v>487</v>
      </c>
      <c r="B59" s="13" t="s">
        <v>22</v>
      </c>
      <c r="C59" s="14" t="s">
        <v>447</v>
      </c>
      <c r="D59" s="15" t="s">
        <v>448</v>
      </c>
      <c r="E59" s="182" t="s">
        <v>0</v>
      </c>
      <c r="F59" s="268">
        <v>1113</v>
      </c>
      <c r="G59" s="96">
        <v>0.15</v>
      </c>
      <c r="H59" s="96">
        <v>0.45</v>
      </c>
      <c r="I59" s="239">
        <f t="shared" si="0"/>
        <v>0.6</v>
      </c>
      <c r="J59" s="244">
        <f t="shared" si="33"/>
        <v>0.18</v>
      </c>
      <c r="K59" s="89">
        <f t="shared" si="34"/>
        <v>0.54</v>
      </c>
      <c r="L59" s="239">
        <f t="shared" si="23"/>
        <v>0.72</v>
      </c>
      <c r="M59" s="244">
        <f t="shared" si="6"/>
        <v>200.34</v>
      </c>
      <c r="N59" s="89">
        <f t="shared" si="7"/>
        <v>601.02</v>
      </c>
      <c r="O59" s="16">
        <f t="shared" si="40"/>
        <v>801.36</v>
      </c>
      <c r="P59" s="5"/>
      <c r="Q59" s="88"/>
    </row>
    <row r="60" spans="1:17" ht="25.5">
      <c r="A60" s="12" t="s">
        <v>488</v>
      </c>
      <c r="B60" s="13" t="s">
        <v>94</v>
      </c>
      <c r="C60" s="14" t="s">
        <v>453</v>
      </c>
      <c r="D60" s="15" t="s">
        <v>449</v>
      </c>
      <c r="E60" s="182" t="s">
        <v>1</v>
      </c>
      <c r="F60" s="268">
        <v>33.39</v>
      </c>
      <c r="G60" s="96">
        <f>Composição!F133</f>
        <v>68.289999999999992</v>
      </c>
      <c r="H60" s="96">
        <f>Composição!F134</f>
        <v>29.93</v>
      </c>
      <c r="I60" s="239">
        <f t="shared" si="0"/>
        <v>98.22</v>
      </c>
      <c r="J60" s="244">
        <f t="shared" si="33"/>
        <v>82.18</v>
      </c>
      <c r="K60" s="89">
        <f t="shared" si="34"/>
        <v>36.020000000000003</v>
      </c>
      <c r="L60" s="239">
        <f t="shared" si="23"/>
        <v>118.20000000000002</v>
      </c>
      <c r="M60" s="244">
        <f t="shared" si="6"/>
        <v>2743.99</v>
      </c>
      <c r="N60" s="89">
        <f t="shared" si="7"/>
        <v>1202.71</v>
      </c>
      <c r="O60" s="16">
        <f t="shared" si="40"/>
        <v>3946.7</v>
      </c>
      <c r="P60" s="5"/>
      <c r="Q60" s="88"/>
    </row>
    <row r="61" spans="1:17" ht="25.5">
      <c r="A61" s="12" t="s">
        <v>489</v>
      </c>
      <c r="B61" s="13" t="s">
        <v>97</v>
      </c>
      <c r="C61" s="14" t="s">
        <v>454</v>
      </c>
      <c r="D61" s="15" t="s">
        <v>450</v>
      </c>
      <c r="E61" s="182" t="s">
        <v>1</v>
      </c>
      <c r="F61" s="268">
        <v>33.39</v>
      </c>
      <c r="G61" s="96">
        <f>Composição!F145</f>
        <v>59.2</v>
      </c>
      <c r="H61" s="96">
        <f>Composição!F146</f>
        <v>29.93</v>
      </c>
      <c r="I61" s="239">
        <f t="shared" si="0"/>
        <v>89.13</v>
      </c>
      <c r="J61" s="244">
        <f t="shared" si="33"/>
        <v>71.239999999999995</v>
      </c>
      <c r="K61" s="89">
        <f t="shared" si="34"/>
        <v>36.020000000000003</v>
      </c>
      <c r="L61" s="239">
        <f t="shared" si="23"/>
        <v>107.25999999999999</v>
      </c>
      <c r="M61" s="244">
        <f t="shared" si="6"/>
        <v>2378.6999999999998</v>
      </c>
      <c r="N61" s="89">
        <f t="shared" si="7"/>
        <v>1202.71</v>
      </c>
      <c r="O61" s="16">
        <f t="shared" si="40"/>
        <v>3581.41</v>
      </c>
      <c r="P61" s="5"/>
      <c r="Q61" s="88"/>
    </row>
    <row r="62" spans="1:17" ht="38.25">
      <c r="A62" s="12" t="s">
        <v>490</v>
      </c>
      <c r="B62" s="13" t="s">
        <v>22</v>
      </c>
      <c r="C62" s="14" t="s">
        <v>451</v>
      </c>
      <c r="D62" s="15" t="s">
        <v>452</v>
      </c>
      <c r="E62" s="182" t="s">
        <v>1</v>
      </c>
      <c r="F62" s="268">
        <v>55.65</v>
      </c>
      <c r="G62" s="96">
        <f>0.03+73.84</f>
        <v>73.87</v>
      </c>
      <c r="H62" s="96">
        <v>23.23</v>
      </c>
      <c r="I62" s="239">
        <f t="shared" si="0"/>
        <v>97.100000000000009</v>
      </c>
      <c r="J62" s="244">
        <f t="shared" si="33"/>
        <v>88.9</v>
      </c>
      <c r="K62" s="89">
        <f t="shared" si="34"/>
        <v>27.95</v>
      </c>
      <c r="L62" s="239">
        <f t="shared" si="23"/>
        <v>116.85000000000001</v>
      </c>
      <c r="M62" s="244">
        <f t="shared" si="6"/>
        <v>4947.29</v>
      </c>
      <c r="N62" s="89">
        <f t="shared" si="7"/>
        <v>1555.42</v>
      </c>
      <c r="O62" s="16">
        <f t="shared" si="40"/>
        <v>6502.71</v>
      </c>
      <c r="P62" s="5"/>
      <c r="Q62" s="88"/>
    </row>
    <row r="63" spans="1:17">
      <c r="A63" s="17" t="s">
        <v>131</v>
      </c>
      <c r="B63" s="285" t="s">
        <v>15</v>
      </c>
      <c r="C63" s="285"/>
      <c r="D63" s="285"/>
      <c r="E63" s="285"/>
      <c r="F63" s="18"/>
      <c r="G63" s="18"/>
      <c r="H63" s="18"/>
      <c r="I63" s="237"/>
      <c r="J63" s="245"/>
      <c r="K63" s="238"/>
      <c r="L63" s="240"/>
      <c r="M63" s="245"/>
      <c r="N63" s="238"/>
      <c r="O63" s="19">
        <f>SUM(O64:O68)</f>
        <v>55185.7</v>
      </c>
      <c r="P63" s="5"/>
      <c r="Q63" s="88"/>
    </row>
    <row r="64" spans="1:17">
      <c r="A64" s="12" t="s">
        <v>196</v>
      </c>
      <c r="B64" s="13" t="s">
        <v>94</v>
      </c>
      <c r="C64" s="14" t="s">
        <v>446</v>
      </c>
      <c r="D64" s="15" t="str">
        <f>UPPER("Árvore Plátano Muda 1,5m enxertada")</f>
        <v>ÁRVORE PLÁTANO MUDA 1,5M ENXERTADA</v>
      </c>
      <c r="E64" s="182" t="s">
        <v>17</v>
      </c>
      <c r="F64" s="268">
        <v>22</v>
      </c>
      <c r="G64" s="96">
        <f>Composição!F39</f>
        <v>205</v>
      </c>
      <c r="H64" s="96">
        <f>Composição!F40</f>
        <v>17.7</v>
      </c>
      <c r="I64" s="239">
        <f t="shared" si="0"/>
        <v>222.7</v>
      </c>
      <c r="J64" s="244">
        <f>ROUND((G64*$D$5),2)</f>
        <v>246.7</v>
      </c>
      <c r="K64" s="89">
        <f>ROUND((H64*$D$5),2)</f>
        <v>21.3</v>
      </c>
      <c r="L64" s="239">
        <f t="shared" si="1"/>
        <v>268</v>
      </c>
      <c r="M64" s="244">
        <f t="shared" si="6"/>
        <v>5427.4</v>
      </c>
      <c r="N64" s="89">
        <f t="shared" si="7"/>
        <v>468.6</v>
      </c>
      <c r="O64" s="16">
        <f>N64+M64</f>
        <v>5896</v>
      </c>
      <c r="P64" s="5"/>
      <c r="Q64" s="88"/>
    </row>
    <row r="65" spans="1:17">
      <c r="A65" s="12" t="s">
        <v>197</v>
      </c>
      <c r="B65" s="13" t="s">
        <v>94</v>
      </c>
      <c r="C65" s="14" t="s">
        <v>190</v>
      </c>
      <c r="D65" s="15" t="str">
        <f>UPPER("Árvore Ipê branco Muda 1,5m enxertada")</f>
        <v>ÁRVORE IPÊ BRANCO MUDA 1,5M ENXERTADA</v>
      </c>
      <c r="E65" s="182" t="s">
        <v>17</v>
      </c>
      <c r="F65" s="268">
        <v>4</v>
      </c>
      <c r="G65" s="96">
        <f>Composição!F49</f>
        <v>145.6</v>
      </c>
      <c r="H65" s="96">
        <f>Composição!F50</f>
        <v>17.7</v>
      </c>
      <c r="I65" s="239">
        <f t="shared" si="0"/>
        <v>163.29999999999998</v>
      </c>
      <c r="J65" s="244">
        <f t="shared" ref="J65:J68" si="43">ROUND((G65*$D$5),2)</f>
        <v>175.22</v>
      </c>
      <c r="K65" s="89">
        <f t="shared" ref="K65:K68" si="44">ROUND((H65*$D$5),2)</f>
        <v>21.3</v>
      </c>
      <c r="L65" s="239">
        <f t="shared" si="1"/>
        <v>196.52</v>
      </c>
      <c r="M65" s="244">
        <f t="shared" si="6"/>
        <v>700.88</v>
      </c>
      <c r="N65" s="89">
        <f t="shared" si="7"/>
        <v>85.2</v>
      </c>
      <c r="O65" s="16">
        <f>N65+M65</f>
        <v>786.08</v>
      </c>
      <c r="P65" s="5"/>
      <c r="Q65" s="88"/>
    </row>
    <row r="66" spans="1:17">
      <c r="A66" s="12" t="s">
        <v>198</v>
      </c>
      <c r="B66" s="13" t="s">
        <v>22</v>
      </c>
      <c r="C66" s="14" t="s">
        <v>46</v>
      </c>
      <c r="D66" s="15" t="s">
        <v>429</v>
      </c>
      <c r="E66" s="182" t="s">
        <v>0</v>
      </c>
      <c r="F66" s="268">
        <v>1881.77</v>
      </c>
      <c r="G66" s="96">
        <v>17.36</v>
      </c>
      <c r="H66" s="96">
        <v>2.85</v>
      </c>
      <c r="I66" s="239">
        <f t="shared" si="0"/>
        <v>20.21</v>
      </c>
      <c r="J66" s="244">
        <f t="shared" si="43"/>
        <v>20.89</v>
      </c>
      <c r="K66" s="89">
        <f t="shared" si="44"/>
        <v>3.43</v>
      </c>
      <c r="L66" s="239">
        <f t="shared" ref="L66:L76" si="45">J66+K66</f>
        <v>24.32</v>
      </c>
      <c r="M66" s="244">
        <f t="shared" si="6"/>
        <v>39310.18</v>
      </c>
      <c r="N66" s="89">
        <f t="shared" si="7"/>
        <v>6454.47</v>
      </c>
      <c r="O66" s="16">
        <f>N66+M66</f>
        <v>45764.65</v>
      </c>
      <c r="P66" s="5"/>
      <c r="Q66" s="88"/>
    </row>
    <row r="67" spans="1:17" ht="25.5">
      <c r="A67" s="12" t="s">
        <v>199</v>
      </c>
      <c r="B67" s="13" t="s">
        <v>94</v>
      </c>
      <c r="C67" s="14" t="s">
        <v>176</v>
      </c>
      <c r="D67" s="15" t="s">
        <v>428</v>
      </c>
      <c r="E67" s="182" t="s">
        <v>2</v>
      </c>
      <c r="F67" s="268">
        <v>16.78</v>
      </c>
      <c r="G67" s="96">
        <f>Composição!F69</f>
        <v>2</v>
      </c>
      <c r="H67" s="96">
        <f>Composição!F70</f>
        <v>3.66</v>
      </c>
      <c r="I67" s="239">
        <f t="shared" si="0"/>
        <v>5.66</v>
      </c>
      <c r="J67" s="244">
        <f t="shared" si="43"/>
        <v>2.41</v>
      </c>
      <c r="K67" s="89">
        <f t="shared" si="44"/>
        <v>4.4000000000000004</v>
      </c>
      <c r="L67" s="239">
        <f t="shared" si="45"/>
        <v>6.8100000000000005</v>
      </c>
      <c r="M67" s="244">
        <f t="shared" si="6"/>
        <v>40.44</v>
      </c>
      <c r="N67" s="89">
        <f t="shared" si="7"/>
        <v>73.83</v>
      </c>
      <c r="O67" s="16">
        <f t="shared" ref="O67" si="46">N67+M67</f>
        <v>114.27</v>
      </c>
      <c r="P67" s="5"/>
      <c r="Q67" s="88"/>
    </row>
    <row r="68" spans="1:17">
      <c r="A68" s="12" t="s">
        <v>200</v>
      </c>
      <c r="B68" s="13" t="s">
        <v>94</v>
      </c>
      <c r="C68" s="14" t="s">
        <v>175</v>
      </c>
      <c r="D68" s="15" t="s">
        <v>427</v>
      </c>
      <c r="E68" s="182" t="s">
        <v>17</v>
      </c>
      <c r="F68" s="268">
        <v>30</v>
      </c>
      <c r="G68" s="96">
        <f>Composição!F59</f>
        <v>55</v>
      </c>
      <c r="H68" s="96">
        <f>Composição!F60</f>
        <v>17.7</v>
      </c>
      <c r="I68" s="239">
        <f t="shared" si="0"/>
        <v>72.7</v>
      </c>
      <c r="J68" s="244">
        <f t="shared" si="43"/>
        <v>66.19</v>
      </c>
      <c r="K68" s="89">
        <f t="shared" si="44"/>
        <v>21.3</v>
      </c>
      <c r="L68" s="239">
        <f t="shared" si="45"/>
        <v>87.49</v>
      </c>
      <c r="M68" s="244">
        <f t="shared" si="6"/>
        <v>1985.7</v>
      </c>
      <c r="N68" s="89">
        <f t="shared" si="7"/>
        <v>639</v>
      </c>
      <c r="O68" s="16">
        <f>N68+M68</f>
        <v>2624.7</v>
      </c>
      <c r="P68" s="5"/>
      <c r="Q68" s="88"/>
    </row>
    <row r="69" spans="1:17">
      <c r="A69" s="17" t="s">
        <v>421</v>
      </c>
      <c r="B69" s="285" t="s">
        <v>431</v>
      </c>
      <c r="C69" s="285"/>
      <c r="D69" s="285"/>
      <c r="E69" s="285"/>
      <c r="F69" s="18"/>
      <c r="G69" s="18"/>
      <c r="H69" s="18"/>
      <c r="I69" s="237"/>
      <c r="J69" s="245"/>
      <c r="K69" s="238"/>
      <c r="L69" s="240"/>
      <c r="M69" s="245"/>
      <c r="N69" s="238"/>
      <c r="O69" s="19">
        <f>SUM(O70:O76)</f>
        <v>79198.709999999992</v>
      </c>
      <c r="P69" s="5"/>
      <c r="Q69" s="88"/>
    </row>
    <row r="70" spans="1:17" ht="25.5">
      <c r="A70" s="12" t="s">
        <v>422</v>
      </c>
      <c r="B70" s="13" t="s">
        <v>94</v>
      </c>
      <c r="C70" s="14" t="s">
        <v>445</v>
      </c>
      <c r="D70" s="15" t="s">
        <v>425</v>
      </c>
      <c r="E70" s="182" t="s">
        <v>17</v>
      </c>
      <c r="F70" s="268">
        <v>4</v>
      </c>
      <c r="G70" s="96">
        <f>Composição!F26</f>
        <v>338</v>
      </c>
      <c r="H70" s="96">
        <f>Composição!F22</f>
        <v>70.8</v>
      </c>
      <c r="I70" s="239">
        <f t="shared" si="0"/>
        <v>408.8</v>
      </c>
      <c r="J70" s="244">
        <f>ROUND((G70*$D$5),2)</f>
        <v>406.75</v>
      </c>
      <c r="K70" s="89">
        <f>ROUND((H70*$D$5),2)</f>
        <v>85.2</v>
      </c>
      <c r="L70" s="239">
        <f t="shared" si="45"/>
        <v>491.95</v>
      </c>
      <c r="M70" s="244">
        <f t="shared" si="6"/>
        <v>1627</v>
      </c>
      <c r="N70" s="89">
        <f t="shared" si="7"/>
        <v>340.8</v>
      </c>
      <c r="O70" s="16">
        <f t="shared" ref="O70:O76" si="47">N70+M70</f>
        <v>1967.8</v>
      </c>
      <c r="P70" s="5"/>
      <c r="Q70" s="88"/>
    </row>
    <row r="71" spans="1:17" ht="63.75">
      <c r="A71" s="12" t="s">
        <v>423</v>
      </c>
      <c r="B71" s="13" t="s">
        <v>97</v>
      </c>
      <c r="C71" s="14" t="s">
        <v>387</v>
      </c>
      <c r="D71" s="15" t="s">
        <v>440</v>
      </c>
      <c r="E71" s="182" t="s">
        <v>17</v>
      </c>
      <c r="F71" s="268">
        <v>2</v>
      </c>
      <c r="G71" s="96">
        <f>Composição!F35</f>
        <v>6587.31</v>
      </c>
      <c r="H71" s="96">
        <f>Composição!F31</f>
        <v>70.8</v>
      </c>
      <c r="I71" s="239">
        <f t="shared" si="0"/>
        <v>6658.1100000000006</v>
      </c>
      <c r="J71" s="244">
        <f t="shared" ref="J71:J76" si="48">ROUND((G71*$D$5),2)</f>
        <v>7927.17</v>
      </c>
      <c r="K71" s="89">
        <f t="shared" ref="K71:K76" si="49">ROUND((H71*$D$5),2)</f>
        <v>85.2</v>
      </c>
      <c r="L71" s="239">
        <f t="shared" si="45"/>
        <v>8012.37</v>
      </c>
      <c r="M71" s="244">
        <f t="shared" si="6"/>
        <v>15854.34</v>
      </c>
      <c r="N71" s="89">
        <f t="shared" si="7"/>
        <v>170.4</v>
      </c>
      <c r="O71" s="16">
        <f t="shared" si="47"/>
        <v>16024.74</v>
      </c>
      <c r="P71" s="5"/>
      <c r="Q71" s="88"/>
    </row>
    <row r="72" spans="1:17" ht="25.5">
      <c r="A72" s="12" t="s">
        <v>424</v>
      </c>
      <c r="B72" s="13" t="s">
        <v>94</v>
      </c>
      <c r="C72" s="14" t="s">
        <v>252</v>
      </c>
      <c r="D72" s="15" t="s">
        <v>438</v>
      </c>
      <c r="E72" s="182" t="s">
        <v>0</v>
      </c>
      <c r="F72" s="268">
        <v>2128</v>
      </c>
      <c r="G72" s="96">
        <f>Composição!F124</f>
        <v>3.24</v>
      </c>
      <c r="H72" s="96">
        <f>Composição!F125</f>
        <v>0.09</v>
      </c>
      <c r="I72" s="239">
        <f t="shared" ref="I72" si="50">G72+H72</f>
        <v>3.33</v>
      </c>
      <c r="J72" s="244">
        <f t="shared" si="48"/>
        <v>3.9</v>
      </c>
      <c r="K72" s="89">
        <f t="shared" si="49"/>
        <v>0.11</v>
      </c>
      <c r="L72" s="239">
        <f t="shared" ref="L72" si="51">J72+K72</f>
        <v>4.01</v>
      </c>
      <c r="M72" s="244">
        <f t="shared" si="6"/>
        <v>8299.2000000000007</v>
      </c>
      <c r="N72" s="89">
        <f t="shared" si="7"/>
        <v>234.08</v>
      </c>
      <c r="O72" s="16">
        <f t="shared" si="47"/>
        <v>8533.2800000000007</v>
      </c>
      <c r="P72" s="5"/>
      <c r="Q72" s="88"/>
    </row>
    <row r="73" spans="1:17" ht="25.5">
      <c r="A73" s="12" t="s">
        <v>434</v>
      </c>
      <c r="B73" s="13" t="s">
        <v>16</v>
      </c>
      <c r="C73" s="14" t="s">
        <v>27</v>
      </c>
      <c r="D73" s="15" t="s">
        <v>426</v>
      </c>
      <c r="E73" s="182" t="s">
        <v>17</v>
      </c>
      <c r="F73" s="268">
        <v>2</v>
      </c>
      <c r="G73" s="96">
        <v>1148</v>
      </c>
      <c r="H73" s="96">
        <v>492</v>
      </c>
      <c r="I73" s="239">
        <f t="shared" si="0"/>
        <v>1640</v>
      </c>
      <c r="J73" s="244">
        <f>G73</f>
        <v>1148</v>
      </c>
      <c r="K73" s="244">
        <f t="shared" ref="K73:L73" si="52">H73</f>
        <v>492</v>
      </c>
      <c r="L73" s="244">
        <f t="shared" si="52"/>
        <v>1640</v>
      </c>
      <c r="M73" s="244">
        <f t="shared" si="6"/>
        <v>2296</v>
      </c>
      <c r="N73" s="89">
        <f t="shared" si="7"/>
        <v>984</v>
      </c>
      <c r="O73" s="16">
        <f t="shared" si="47"/>
        <v>3280</v>
      </c>
      <c r="P73" s="5"/>
      <c r="Q73" s="88"/>
    </row>
    <row r="74" spans="1:17" ht="89.25">
      <c r="A74" s="12" t="s">
        <v>491</v>
      </c>
      <c r="B74" s="13" t="s">
        <v>22</v>
      </c>
      <c r="C74" s="14" t="s">
        <v>433</v>
      </c>
      <c r="D74" s="15" t="s">
        <v>432</v>
      </c>
      <c r="E74" s="182" t="s">
        <v>0</v>
      </c>
      <c r="F74" s="268">
        <v>224</v>
      </c>
      <c r="G74" s="96">
        <v>150.44999999999999</v>
      </c>
      <c r="H74" s="96">
        <v>31.63</v>
      </c>
      <c r="I74" s="239">
        <f t="shared" si="0"/>
        <v>182.07999999999998</v>
      </c>
      <c r="J74" s="244">
        <f t="shared" si="48"/>
        <v>181.05</v>
      </c>
      <c r="K74" s="89">
        <f t="shared" si="49"/>
        <v>38.06</v>
      </c>
      <c r="L74" s="239">
        <f>J74+K74</f>
        <v>219.11</v>
      </c>
      <c r="M74" s="244">
        <f t="shared" si="6"/>
        <v>40555.199999999997</v>
      </c>
      <c r="N74" s="89">
        <f t="shared" si="7"/>
        <v>8525.44</v>
      </c>
      <c r="O74" s="16">
        <f t="shared" si="47"/>
        <v>49080.639999999999</v>
      </c>
      <c r="P74" s="5"/>
      <c r="Q74" s="88"/>
    </row>
    <row r="75" spans="1:17" ht="25.5">
      <c r="A75" s="12" t="s">
        <v>492</v>
      </c>
      <c r="B75" s="13" t="s">
        <v>22</v>
      </c>
      <c r="C75" s="14" t="s">
        <v>161</v>
      </c>
      <c r="D75" s="15" t="s">
        <v>162</v>
      </c>
      <c r="E75" s="182" t="s">
        <v>1</v>
      </c>
      <c r="F75" s="268">
        <f>0.59</f>
        <v>0.59</v>
      </c>
      <c r="G75" s="96">
        <v>18.89</v>
      </c>
      <c r="H75" s="96">
        <v>55.64</v>
      </c>
      <c r="I75" s="239">
        <f t="shared" si="0"/>
        <v>74.53</v>
      </c>
      <c r="J75" s="244">
        <f t="shared" si="48"/>
        <v>22.73</v>
      </c>
      <c r="K75" s="89">
        <f t="shared" si="49"/>
        <v>66.959999999999994</v>
      </c>
      <c r="L75" s="239">
        <f t="shared" si="45"/>
        <v>89.69</v>
      </c>
      <c r="M75" s="244">
        <f t="shared" si="6"/>
        <v>13.41</v>
      </c>
      <c r="N75" s="89">
        <f t="shared" si="7"/>
        <v>39.51</v>
      </c>
      <c r="O75" s="16">
        <f t="shared" si="47"/>
        <v>52.92</v>
      </c>
      <c r="P75" s="5"/>
      <c r="Q75" s="88"/>
    </row>
    <row r="76" spans="1:17" ht="38.25">
      <c r="A76" s="12" t="s">
        <v>493</v>
      </c>
      <c r="B76" s="13" t="s">
        <v>22</v>
      </c>
      <c r="C76" s="14" t="s">
        <v>168</v>
      </c>
      <c r="D76" s="15" t="s">
        <v>169</v>
      </c>
      <c r="E76" s="182" t="s">
        <v>1</v>
      </c>
      <c r="F76" s="268">
        <f>0.59</f>
        <v>0.59</v>
      </c>
      <c r="G76" s="96">
        <f>0.7+303.77</f>
        <v>304.46999999999997</v>
      </c>
      <c r="H76" s="96">
        <f>59.79+0.99</f>
        <v>60.78</v>
      </c>
      <c r="I76" s="239">
        <f t="shared" si="0"/>
        <v>365.25</v>
      </c>
      <c r="J76" s="244">
        <f t="shared" si="48"/>
        <v>366.4</v>
      </c>
      <c r="K76" s="89">
        <f t="shared" si="49"/>
        <v>73.14</v>
      </c>
      <c r="L76" s="239">
        <f t="shared" si="45"/>
        <v>439.53999999999996</v>
      </c>
      <c r="M76" s="244">
        <f t="shared" si="6"/>
        <v>216.18</v>
      </c>
      <c r="N76" s="89">
        <f t="shared" si="7"/>
        <v>43.15</v>
      </c>
      <c r="O76" s="16">
        <f t="shared" si="47"/>
        <v>259.33</v>
      </c>
      <c r="P76" s="5"/>
      <c r="Q76" s="88"/>
    </row>
    <row r="77" spans="1:17">
      <c r="J77" s="249"/>
      <c r="K77" s="249"/>
      <c r="L77" s="249"/>
    </row>
    <row r="78" spans="1:17" ht="19.5">
      <c r="J78" s="250"/>
      <c r="K78" s="250"/>
      <c r="L78" s="186" t="s">
        <v>34</v>
      </c>
      <c r="M78" s="188">
        <f>SUM(M11:M11,M13:M15,M17:M41,M43:M62,M64:M68,M70:M76)</f>
        <v>336737.14000000007</v>
      </c>
      <c r="N78" s="188">
        <f>SUM(N11:N11,N13:N15,N17:N41,N43:N62,N64:N68,N70:N76)</f>
        <v>63490.58</v>
      </c>
      <c r="O78" s="187">
        <f>SUM(O10,O12,O42,O63,O69,O16)</f>
        <v>400227.72</v>
      </c>
      <c r="P78" s="5"/>
      <c r="Q78" s="5"/>
    </row>
    <row r="79" spans="1:17" ht="15.75">
      <c r="H79" s="251"/>
      <c r="I79" s="251"/>
      <c r="J79" s="251"/>
      <c r="K79" s="251"/>
      <c r="L79" s="251"/>
      <c r="M79" s="251"/>
      <c r="N79" s="251"/>
      <c r="O79" s="263"/>
    </row>
    <row r="80" spans="1:17">
      <c r="C80" s="88"/>
      <c r="D80" s="62"/>
    </row>
    <row r="81" spans="3:15">
      <c r="M81" s="281"/>
      <c r="N81" s="281"/>
      <c r="O81" s="281"/>
    </row>
    <row r="82" spans="3:15" ht="15.75" customHeight="1">
      <c r="C82" s="88"/>
      <c r="M82" s="286" t="s">
        <v>530</v>
      </c>
      <c r="N82" s="286"/>
      <c r="O82" s="286"/>
    </row>
    <row r="83" spans="3:15">
      <c r="C83" s="88"/>
      <c r="M83" s="287"/>
      <c r="N83" s="287"/>
      <c r="O83" s="287"/>
    </row>
    <row r="84" spans="3:15" ht="15" customHeight="1">
      <c r="C84" s="88"/>
      <c r="M84" s="282" t="s">
        <v>529</v>
      </c>
      <c r="N84" s="282"/>
      <c r="O84" s="282"/>
    </row>
    <row r="85" spans="3:15">
      <c r="C85" s="88"/>
    </row>
    <row r="93" spans="3:15">
      <c r="E93" s="190"/>
    </row>
    <row r="94" spans="3:15">
      <c r="E94" s="190"/>
    </row>
    <row r="95" spans="3:15">
      <c r="D95" s="184"/>
    </row>
    <row r="98" spans="7:7">
      <c r="G98" s="201"/>
    </row>
  </sheetData>
  <mergeCells count="18">
    <mergeCell ref="A1:O1"/>
    <mergeCell ref="A9:D9"/>
    <mergeCell ref="B12:F12"/>
    <mergeCell ref="B42:E42"/>
    <mergeCell ref="A3:O3"/>
    <mergeCell ref="A4:D4"/>
    <mergeCell ref="B10:F10"/>
    <mergeCell ref="A5:B5"/>
    <mergeCell ref="A6:D6"/>
    <mergeCell ref="G7:I7"/>
    <mergeCell ref="B16:F16"/>
    <mergeCell ref="J7:L7"/>
    <mergeCell ref="M81:O81"/>
    <mergeCell ref="M84:O84"/>
    <mergeCell ref="M7:N7"/>
    <mergeCell ref="B63:E63"/>
    <mergeCell ref="B69:E69"/>
    <mergeCell ref="M82:O83"/>
  </mergeCells>
  <printOptions horizontalCentered="1"/>
  <pageMargins left="0.19685039370078741" right="0.19685039370078741" top="0.19685039370078741" bottom="0.39370078740157483" header="0.19685039370078741" footer="0.19685039370078741"/>
  <pageSetup paperSize="9" scale="6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7"/>
  <sheetViews>
    <sheetView workbookViewId="0">
      <selection sqref="A1:G167"/>
    </sheetView>
  </sheetViews>
  <sheetFormatPr defaultRowHeight="14.25"/>
  <cols>
    <col min="1" max="2" width="29.85546875" style="39" customWidth="1"/>
    <col min="3" max="3" width="44.140625" style="39" customWidth="1"/>
    <col min="4" max="4" width="10.5703125" style="39" bestFit="1" customWidth="1"/>
    <col min="5" max="7" width="18.140625" style="39" customWidth="1"/>
    <col min="8" max="16384" width="9.140625" style="39"/>
  </cols>
  <sheetData>
    <row r="1" spans="1:8" ht="25.5" customHeight="1">
      <c r="A1" s="317" t="s">
        <v>74</v>
      </c>
      <c r="B1" s="318"/>
      <c r="C1" s="318"/>
      <c r="D1" s="318"/>
      <c r="E1" s="318"/>
      <c r="F1" s="318"/>
      <c r="G1" s="319"/>
    </row>
    <row r="2" spans="1:8" ht="60.75" thickBot="1">
      <c r="A2" s="320" t="s">
        <v>75</v>
      </c>
      <c r="B2" s="321"/>
      <c r="C2" s="325" t="s">
        <v>81</v>
      </c>
      <c r="D2" s="325"/>
      <c r="E2" s="325" t="s">
        <v>527</v>
      </c>
      <c r="F2" s="325"/>
      <c r="G2" s="43" t="s">
        <v>528</v>
      </c>
    </row>
    <row r="3" spans="1:8" ht="15.75" thickTop="1" thickBot="1">
      <c r="A3" s="322" t="s">
        <v>76</v>
      </c>
      <c r="B3" s="323"/>
      <c r="C3" s="323"/>
      <c r="D3" s="323"/>
      <c r="E3" s="323"/>
      <c r="F3" s="323"/>
      <c r="G3" s="324"/>
    </row>
    <row r="4" spans="1:8" ht="15" thickTop="1"/>
    <row r="5" spans="1:8" ht="15" thickBot="1"/>
    <row r="6" spans="1:8" ht="15.75" thickTop="1">
      <c r="A6" s="326" t="s">
        <v>96</v>
      </c>
      <c r="B6" s="308" t="s">
        <v>134</v>
      </c>
      <c r="C6" s="308"/>
      <c r="D6" s="44"/>
      <c r="E6" s="44" t="s">
        <v>98</v>
      </c>
      <c r="F6" s="46">
        <f>G11+G12+G13+G14+I17</f>
        <v>260.65000000000003</v>
      </c>
      <c r="G6" s="300">
        <f>F6+F7</f>
        <v>321.47000000000003</v>
      </c>
    </row>
    <row r="7" spans="1:8" ht="15">
      <c r="A7" s="327"/>
      <c r="B7" s="309"/>
      <c r="C7" s="309"/>
      <c r="D7" s="45"/>
      <c r="E7" s="45" t="s">
        <v>99</v>
      </c>
      <c r="F7" s="115">
        <f>G15+G16+I18</f>
        <v>60.82</v>
      </c>
      <c r="G7" s="301"/>
    </row>
    <row r="8" spans="1:8" ht="15">
      <c r="A8" s="90" t="s">
        <v>77</v>
      </c>
      <c r="B8" s="105" t="s">
        <v>0</v>
      </c>
      <c r="C8" s="40"/>
      <c r="D8" s="41"/>
      <c r="E8" s="60" t="s">
        <v>114</v>
      </c>
      <c r="F8" s="59">
        <v>0.2278</v>
      </c>
      <c r="G8" s="42"/>
    </row>
    <row r="9" spans="1:8">
      <c r="A9" s="310" t="s">
        <v>87</v>
      </c>
      <c r="B9" s="311" t="s">
        <v>88</v>
      </c>
      <c r="C9" s="311" t="s">
        <v>89</v>
      </c>
      <c r="D9" s="315" t="s">
        <v>90</v>
      </c>
      <c r="E9" s="316" t="s">
        <v>91</v>
      </c>
      <c r="F9" s="315" t="s">
        <v>92</v>
      </c>
      <c r="G9" s="315" t="s">
        <v>93</v>
      </c>
    </row>
    <row r="10" spans="1:8">
      <c r="A10" s="303"/>
      <c r="B10" s="312"/>
      <c r="C10" s="312"/>
      <c r="D10" s="312"/>
      <c r="E10" s="314"/>
      <c r="F10" s="312"/>
      <c r="G10" s="312"/>
      <c r="H10" s="92"/>
    </row>
    <row r="11" spans="1:8" ht="38.25">
      <c r="A11" s="91" t="s">
        <v>78</v>
      </c>
      <c r="B11" s="257" t="s">
        <v>142</v>
      </c>
      <c r="C11" s="258" t="s">
        <v>136</v>
      </c>
      <c r="D11" s="259" t="s">
        <v>2</v>
      </c>
      <c r="E11" s="276">
        <v>1</v>
      </c>
      <c r="F11" s="260">
        <v>4.32</v>
      </c>
      <c r="G11" s="261">
        <f>ROUND((F11*E11),2)</f>
        <v>4.32</v>
      </c>
      <c r="H11" s="92"/>
    </row>
    <row r="12" spans="1:8" ht="38.25">
      <c r="A12" s="91" t="s">
        <v>78</v>
      </c>
      <c r="B12" s="257" t="s">
        <v>143</v>
      </c>
      <c r="C12" s="258" t="s">
        <v>137</v>
      </c>
      <c r="D12" s="259" t="s">
        <v>2</v>
      </c>
      <c r="E12" s="276">
        <v>4</v>
      </c>
      <c r="F12" s="260">
        <v>6.59</v>
      </c>
      <c r="G12" s="261">
        <f t="shared" ref="G12:G16" si="0">ROUND((F12*E12),2)</f>
        <v>26.36</v>
      </c>
      <c r="H12" s="92"/>
    </row>
    <row r="13" spans="1:8" ht="38.25">
      <c r="A13" s="91" t="s">
        <v>78</v>
      </c>
      <c r="B13" s="257" t="s">
        <v>144</v>
      </c>
      <c r="C13" s="258" t="s">
        <v>138</v>
      </c>
      <c r="D13" s="259" t="s">
        <v>0</v>
      </c>
      <c r="E13" s="276">
        <v>1</v>
      </c>
      <c r="F13" s="260">
        <v>225</v>
      </c>
      <c r="G13" s="261">
        <f t="shared" si="0"/>
        <v>225</v>
      </c>
      <c r="H13" s="92"/>
    </row>
    <row r="14" spans="1:8" ht="25.5">
      <c r="A14" s="91" t="s">
        <v>78</v>
      </c>
      <c r="B14" s="257" t="s">
        <v>145</v>
      </c>
      <c r="C14" s="258" t="s">
        <v>139</v>
      </c>
      <c r="D14" s="259" t="s">
        <v>41</v>
      </c>
      <c r="E14" s="276">
        <v>0.11</v>
      </c>
      <c r="F14" s="260">
        <v>21.35</v>
      </c>
      <c r="G14" s="261">
        <f t="shared" si="0"/>
        <v>2.35</v>
      </c>
      <c r="H14" s="92"/>
    </row>
    <row r="15" spans="1:8" ht="25.5">
      <c r="A15" s="91" t="s">
        <v>79</v>
      </c>
      <c r="B15" s="257" t="s">
        <v>146</v>
      </c>
      <c r="C15" s="258" t="s">
        <v>140</v>
      </c>
      <c r="D15" s="259" t="s">
        <v>82</v>
      </c>
      <c r="E15" s="276">
        <v>1</v>
      </c>
      <c r="F15" s="260">
        <v>22.53</v>
      </c>
      <c r="G15" s="261">
        <f t="shared" si="0"/>
        <v>22.53</v>
      </c>
      <c r="H15" s="92"/>
    </row>
    <row r="16" spans="1:8" ht="25.5">
      <c r="A16" s="91" t="s">
        <v>79</v>
      </c>
      <c r="B16" s="257" t="s">
        <v>147</v>
      </c>
      <c r="C16" s="258" t="s">
        <v>83</v>
      </c>
      <c r="D16" s="259" t="s">
        <v>82</v>
      </c>
      <c r="E16" s="276">
        <v>2</v>
      </c>
      <c r="F16" s="260">
        <v>18.84</v>
      </c>
      <c r="G16" s="261">
        <f t="shared" si="0"/>
        <v>37.68</v>
      </c>
      <c r="H16" s="92"/>
    </row>
    <row r="17" spans="1:10" ht="51">
      <c r="A17" s="91" t="s">
        <v>79</v>
      </c>
      <c r="B17" s="257" t="s">
        <v>148</v>
      </c>
      <c r="C17" s="258" t="s">
        <v>141</v>
      </c>
      <c r="D17" s="259" t="s">
        <v>1</v>
      </c>
      <c r="E17" s="276">
        <v>0.01</v>
      </c>
      <c r="F17" s="260">
        <f>0.71+261.44</f>
        <v>262.14999999999998</v>
      </c>
      <c r="G17" s="261">
        <f>ROUND((E17*(F17+F18)),2)</f>
        <v>3.23</v>
      </c>
      <c r="H17" s="277" t="s">
        <v>192</v>
      </c>
      <c r="I17" s="278">
        <f>ROUND((F17*E17),2)</f>
        <v>2.62</v>
      </c>
    </row>
    <row r="18" spans="1:10">
      <c r="A18" s="91"/>
      <c r="B18" s="257"/>
      <c r="C18" s="258"/>
      <c r="D18" s="259"/>
      <c r="E18" s="276"/>
      <c r="F18" s="260">
        <f>60.22+0.99</f>
        <v>61.21</v>
      </c>
      <c r="G18" s="261"/>
      <c r="H18" s="277" t="s">
        <v>191</v>
      </c>
      <c r="I18" s="278">
        <f>ROUND((F18*E17),2)</f>
        <v>0.61</v>
      </c>
    </row>
    <row r="19" spans="1:10" ht="15">
      <c r="F19" s="279" t="s">
        <v>135</v>
      </c>
      <c r="G19" s="280">
        <f>SUM(G11:G18)</f>
        <v>321.47000000000008</v>
      </c>
      <c r="J19" s="104"/>
    </row>
    <row r="20" spans="1:10" ht="15" thickBot="1"/>
    <row r="21" spans="1:10" ht="15.75" thickTop="1">
      <c r="A21" s="296" t="s">
        <v>95</v>
      </c>
      <c r="B21" s="308" t="s">
        <v>425</v>
      </c>
      <c r="C21" s="308"/>
      <c r="D21" s="44"/>
      <c r="E21" s="44" t="s">
        <v>98</v>
      </c>
      <c r="F21" s="46">
        <f>G26</f>
        <v>338</v>
      </c>
      <c r="G21" s="300">
        <f>F21+F22</f>
        <v>408.8</v>
      </c>
    </row>
    <row r="22" spans="1:10" ht="15">
      <c r="A22" s="297"/>
      <c r="B22" s="309"/>
      <c r="C22" s="309"/>
      <c r="D22" s="45"/>
      <c r="E22" s="45" t="s">
        <v>99</v>
      </c>
      <c r="F22" s="115">
        <f>G27</f>
        <v>70.8</v>
      </c>
      <c r="G22" s="301"/>
    </row>
    <row r="23" spans="1:10" ht="15">
      <c r="A23" s="90" t="s">
        <v>77</v>
      </c>
      <c r="B23" s="105" t="s">
        <v>17</v>
      </c>
      <c r="C23" s="40"/>
      <c r="D23" s="41"/>
      <c r="E23" s="60"/>
      <c r="F23" s="59"/>
      <c r="G23" s="42"/>
    </row>
    <row r="24" spans="1:10">
      <c r="A24" s="310" t="s">
        <v>87</v>
      </c>
      <c r="B24" s="311" t="s">
        <v>88</v>
      </c>
      <c r="C24" s="311" t="s">
        <v>89</v>
      </c>
      <c r="D24" s="315" t="s">
        <v>90</v>
      </c>
      <c r="E24" s="316" t="s">
        <v>91</v>
      </c>
      <c r="F24" s="315" t="s">
        <v>92</v>
      </c>
      <c r="G24" s="315" t="s">
        <v>93</v>
      </c>
    </row>
    <row r="25" spans="1:10">
      <c r="A25" s="303"/>
      <c r="B25" s="312"/>
      <c r="C25" s="312"/>
      <c r="D25" s="312"/>
      <c r="E25" s="314"/>
      <c r="F25" s="312"/>
      <c r="G25" s="312"/>
    </row>
    <row r="26" spans="1:10">
      <c r="A26" s="91" t="s">
        <v>78</v>
      </c>
      <c r="B26" s="257" t="s">
        <v>16</v>
      </c>
      <c r="C26" s="258" t="s">
        <v>36</v>
      </c>
      <c r="D26" s="259" t="s">
        <v>0</v>
      </c>
      <c r="E26" s="276">
        <v>1</v>
      </c>
      <c r="F26" s="260">
        <v>338</v>
      </c>
      <c r="G26" s="261">
        <f>ROUND((F26*E26),2)</f>
        <v>338</v>
      </c>
      <c r="H26" s="92"/>
    </row>
    <row r="27" spans="1:10" ht="25.5">
      <c r="A27" s="91" t="s">
        <v>79</v>
      </c>
      <c r="B27" s="257" t="s">
        <v>151</v>
      </c>
      <c r="C27" s="258" t="s">
        <v>152</v>
      </c>
      <c r="D27" s="259" t="s">
        <v>82</v>
      </c>
      <c r="E27" s="276">
        <v>4</v>
      </c>
      <c r="F27" s="260">
        <v>17.7</v>
      </c>
      <c r="G27" s="261">
        <f>ROUND((F27*E27),2)</f>
        <v>70.8</v>
      </c>
      <c r="H27" s="92"/>
    </row>
    <row r="28" spans="1:10" ht="15">
      <c r="F28" s="279" t="s">
        <v>34</v>
      </c>
      <c r="G28" s="280">
        <f>SUM(G26:G27)</f>
        <v>408.8</v>
      </c>
      <c r="J28" s="104"/>
    </row>
    <row r="29" spans="1:10" ht="15" thickBot="1"/>
    <row r="30" spans="1:10" ht="15.75" thickTop="1">
      <c r="A30" s="296" t="s">
        <v>105</v>
      </c>
      <c r="B30" s="298" t="s">
        <v>437</v>
      </c>
      <c r="C30" s="298"/>
      <c r="D30" s="44"/>
      <c r="E30" s="44" t="s">
        <v>98</v>
      </c>
      <c r="F30" s="46">
        <f>G35</f>
        <v>6587.31</v>
      </c>
      <c r="G30" s="300">
        <f>F30+F31</f>
        <v>6658.1100000000006</v>
      </c>
    </row>
    <row r="31" spans="1:10" ht="15">
      <c r="A31" s="297"/>
      <c r="B31" s="299"/>
      <c r="C31" s="299"/>
      <c r="D31" s="45"/>
      <c r="E31" s="45" t="s">
        <v>99</v>
      </c>
      <c r="F31" s="115">
        <f>G36</f>
        <v>70.8</v>
      </c>
      <c r="G31" s="301"/>
    </row>
    <row r="32" spans="1:10" ht="15">
      <c r="A32" s="90" t="s">
        <v>77</v>
      </c>
      <c r="B32" s="105" t="s">
        <v>17</v>
      </c>
      <c r="C32" s="40"/>
      <c r="D32" s="41"/>
      <c r="E32" s="60"/>
      <c r="F32" s="59"/>
      <c r="G32" s="42"/>
    </row>
    <row r="33" spans="1:10">
      <c r="A33" s="310" t="s">
        <v>87</v>
      </c>
      <c r="B33" s="311" t="s">
        <v>88</v>
      </c>
      <c r="C33" s="311" t="s">
        <v>89</v>
      </c>
      <c r="D33" s="315" t="s">
        <v>90</v>
      </c>
      <c r="E33" s="316" t="s">
        <v>91</v>
      </c>
      <c r="F33" s="315" t="s">
        <v>92</v>
      </c>
      <c r="G33" s="315" t="s">
        <v>93</v>
      </c>
    </row>
    <row r="34" spans="1:10">
      <c r="A34" s="303"/>
      <c r="B34" s="312"/>
      <c r="C34" s="312"/>
      <c r="D34" s="312"/>
      <c r="E34" s="314"/>
      <c r="F34" s="312"/>
      <c r="G34" s="312"/>
    </row>
    <row r="35" spans="1:10" ht="76.5">
      <c r="A35" s="91" t="s">
        <v>78</v>
      </c>
      <c r="B35" s="257" t="s">
        <v>436</v>
      </c>
      <c r="C35" s="258" t="s">
        <v>440</v>
      </c>
      <c r="D35" s="259" t="s">
        <v>17</v>
      </c>
      <c r="E35" s="276">
        <v>1</v>
      </c>
      <c r="F35" s="260">
        <v>6587.31</v>
      </c>
      <c r="G35" s="261">
        <f>ROUND((F35*E35),2)</f>
        <v>6587.31</v>
      </c>
      <c r="H35" s="92"/>
    </row>
    <row r="36" spans="1:10" ht="25.5">
      <c r="A36" s="91" t="s">
        <v>79</v>
      </c>
      <c r="B36" s="257" t="s">
        <v>151</v>
      </c>
      <c r="C36" s="258" t="s">
        <v>152</v>
      </c>
      <c r="D36" s="259" t="s">
        <v>82</v>
      </c>
      <c r="E36" s="276">
        <v>4</v>
      </c>
      <c r="F36" s="260">
        <v>17.7</v>
      </c>
      <c r="G36" s="261">
        <f>ROUND((F36*E36),2)</f>
        <v>70.8</v>
      </c>
      <c r="H36" s="92"/>
    </row>
    <row r="37" spans="1:10" ht="15">
      <c r="F37" s="279" t="s">
        <v>34</v>
      </c>
      <c r="G37" s="280">
        <f>SUM(G35:G36)</f>
        <v>6658.1100000000006</v>
      </c>
      <c r="J37" s="104"/>
    </row>
    <row r="38" spans="1:10" ht="15" thickBot="1"/>
    <row r="39" spans="1:10" ht="15.75" thickTop="1">
      <c r="A39" s="296" t="s">
        <v>133</v>
      </c>
      <c r="B39" s="308" t="str">
        <f>UPPER("Árvore Plátano Muda 1,5m enxertada")</f>
        <v>ÁRVORE PLÁTANO MUDA 1,5M ENXERTADA</v>
      </c>
      <c r="C39" s="308"/>
      <c r="D39" s="44"/>
      <c r="E39" s="44" t="s">
        <v>98</v>
      </c>
      <c r="F39" s="46">
        <f>G44</f>
        <v>205</v>
      </c>
      <c r="G39" s="300">
        <f>F39+F40</f>
        <v>222.7</v>
      </c>
    </row>
    <row r="40" spans="1:10" ht="15">
      <c r="A40" s="297"/>
      <c r="B40" s="309"/>
      <c r="C40" s="309"/>
      <c r="D40" s="45"/>
      <c r="E40" s="45" t="s">
        <v>99</v>
      </c>
      <c r="F40" s="115">
        <f>G46+G45</f>
        <v>17.7</v>
      </c>
      <c r="G40" s="301"/>
    </row>
    <row r="41" spans="1:10" ht="15">
      <c r="A41" s="90" t="s">
        <v>77</v>
      </c>
      <c r="B41" s="105" t="s">
        <v>17</v>
      </c>
      <c r="C41" s="114" t="s">
        <v>179</v>
      </c>
      <c r="D41" s="41"/>
      <c r="E41" s="60"/>
      <c r="F41" s="59"/>
      <c r="G41" s="42"/>
    </row>
    <row r="42" spans="1:10">
      <c r="A42" s="310" t="s">
        <v>87</v>
      </c>
      <c r="B42" s="311" t="s">
        <v>88</v>
      </c>
      <c r="C42" s="311" t="s">
        <v>89</v>
      </c>
      <c r="D42" s="315" t="s">
        <v>90</v>
      </c>
      <c r="E42" s="316" t="s">
        <v>91</v>
      </c>
      <c r="F42" s="315" t="s">
        <v>92</v>
      </c>
      <c r="G42" s="315" t="s">
        <v>93</v>
      </c>
    </row>
    <row r="43" spans="1:10">
      <c r="A43" s="303"/>
      <c r="B43" s="312"/>
      <c r="C43" s="312"/>
      <c r="D43" s="312"/>
      <c r="E43" s="314"/>
      <c r="F43" s="312"/>
      <c r="G43" s="312"/>
    </row>
    <row r="44" spans="1:10">
      <c r="A44" s="91" t="s">
        <v>78</v>
      </c>
      <c r="B44" s="257" t="s">
        <v>16</v>
      </c>
      <c r="C44" s="258" t="str">
        <f>UPPER("Árvore Plátano Muda 1,5m enxertada")</f>
        <v>ÁRVORE PLÁTANO MUDA 1,5M ENXERTADA</v>
      </c>
      <c r="D44" s="259" t="s">
        <v>17</v>
      </c>
      <c r="E44" s="276">
        <v>1</v>
      </c>
      <c r="F44" s="260">
        <v>205</v>
      </c>
      <c r="G44" s="261">
        <f>ROUND((F44*E44),2)</f>
        <v>205</v>
      </c>
      <c r="H44" s="92"/>
    </row>
    <row r="45" spans="1:10" ht="25.5">
      <c r="A45" s="91" t="s">
        <v>79</v>
      </c>
      <c r="B45" s="257" t="s">
        <v>147</v>
      </c>
      <c r="C45" s="258" t="s">
        <v>188</v>
      </c>
      <c r="D45" s="259" t="s">
        <v>82</v>
      </c>
      <c r="E45" s="276">
        <v>0.72719999999999996</v>
      </c>
      <c r="F45" s="260">
        <v>18.84</v>
      </c>
      <c r="G45" s="261">
        <f t="shared" ref="G45:G46" si="1">ROUND((F45*E45),2)</f>
        <v>13.7</v>
      </c>
      <c r="H45" s="92"/>
    </row>
    <row r="46" spans="1:10" ht="25.5">
      <c r="A46" s="91" t="s">
        <v>79</v>
      </c>
      <c r="B46" s="257" t="s">
        <v>178</v>
      </c>
      <c r="C46" s="258" t="s">
        <v>180</v>
      </c>
      <c r="D46" s="259" t="s">
        <v>82</v>
      </c>
      <c r="E46" s="276">
        <v>0.18179999999999999</v>
      </c>
      <c r="F46" s="260">
        <v>21.98</v>
      </c>
      <c r="G46" s="261">
        <f t="shared" si="1"/>
        <v>4</v>
      </c>
      <c r="H46" s="92"/>
    </row>
    <row r="47" spans="1:10" ht="15">
      <c r="F47" s="279" t="s">
        <v>34</v>
      </c>
      <c r="G47" s="280">
        <f>SUM(G44:G46)</f>
        <v>222.7</v>
      </c>
      <c r="J47" s="104"/>
    </row>
    <row r="48" spans="1:10" ht="15" thickBot="1"/>
    <row r="49" spans="1:10" ht="15.75" thickTop="1">
      <c r="A49" s="296" t="s">
        <v>170</v>
      </c>
      <c r="B49" s="308" t="str">
        <f>UPPER("Árvore Ipê branco Muda 1,5m enxertada")</f>
        <v>ÁRVORE IPÊ BRANCO MUDA 1,5M ENXERTADA</v>
      </c>
      <c r="C49" s="308"/>
      <c r="D49" s="44"/>
      <c r="E49" s="44" t="s">
        <v>98</v>
      </c>
      <c r="F49" s="46">
        <f>G54</f>
        <v>145.6</v>
      </c>
      <c r="G49" s="300">
        <f>F49+F50</f>
        <v>163.29999999999998</v>
      </c>
    </row>
    <row r="50" spans="1:10" ht="15">
      <c r="A50" s="297"/>
      <c r="B50" s="309"/>
      <c r="C50" s="309"/>
      <c r="D50" s="45"/>
      <c r="E50" s="45" t="s">
        <v>99</v>
      </c>
      <c r="F50" s="115">
        <f>G56+G55</f>
        <v>17.7</v>
      </c>
      <c r="G50" s="301"/>
    </row>
    <row r="51" spans="1:10" ht="15">
      <c r="A51" s="90" t="s">
        <v>77</v>
      </c>
      <c r="B51" s="105" t="s">
        <v>17</v>
      </c>
      <c r="C51" s="114" t="s">
        <v>179</v>
      </c>
      <c r="D51" s="41"/>
      <c r="E51" s="60"/>
      <c r="F51" s="59"/>
      <c r="G51" s="42"/>
    </row>
    <row r="52" spans="1:10">
      <c r="A52" s="310" t="s">
        <v>87</v>
      </c>
      <c r="B52" s="311" t="s">
        <v>88</v>
      </c>
      <c r="C52" s="311" t="s">
        <v>89</v>
      </c>
      <c r="D52" s="315" t="s">
        <v>90</v>
      </c>
      <c r="E52" s="316" t="s">
        <v>91</v>
      </c>
      <c r="F52" s="315" t="s">
        <v>92</v>
      </c>
      <c r="G52" s="315" t="s">
        <v>93</v>
      </c>
    </row>
    <row r="53" spans="1:10">
      <c r="A53" s="303"/>
      <c r="B53" s="312"/>
      <c r="C53" s="312"/>
      <c r="D53" s="312"/>
      <c r="E53" s="314"/>
      <c r="F53" s="312"/>
      <c r="G53" s="312"/>
    </row>
    <row r="54" spans="1:10" ht="25.5">
      <c r="A54" s="91" t="s">
        <v>78</v>
      </c>
      <c r="B54" s="257" t="s">
        <v>16</v>
      </c>
      <c r="C54" s="258" t="str">
        <f>UPPER("Árvore Ipê branco Muda 1,5m enxertada")</f>
        <v>ÁRVORE IPÊ BRANCO MUDA 1,5M ENXERTADA</v>
      </c>
      <c r="D54" s="259" t="s">
        <v>17</v>
      </c>
      <c r="E54" s="276">
        <v>1</v>
      </c>
      <c r="F54" s="260">
        <v>145.6</v>
      </c>
      <c r="G54" s="261">
        <f>ROUND((F54*E54),2)</f>
        <v>145.6</v>
      </c>
      <c r="H54" s="92"/>
    </row>
    <row r="55" spans="1:10" ht="25.5">
      <c r="A55" s="91" t="s">
        <v>79</v>
      </c>
      <c r="B55" s="257" t="s">
        <v>147</v>
      </c>
      <c r="C55" s="258" t="s">
        <v>188</v>
      </c>
      <c r="D55" s="259" t="s">
        <v>82</v>
      </c>
      <c r="E55" s="276">
        <v>0.72719999999999996</v>
      </c>
      <c r="F55" s="260">
        <v>18.84</v>
      </c>
      <c r="G55" s="261">
        <f t="shared" ref="G55:G56" si="2">ROUND((F55*E55),2)</f>
        <v>13.7</v>
      </c>
      <c r="H55" s="92"/>
    </row>
    <row r="56" spans="1:10" ht="25.5">
      <c r="A56" s="91" t="s">
        <v>79</v>
      </c>
      <c r="B56" s="257" t="s">
        <v>178</v>
      </c>
      <c r="C56" s="258" t="s">
        <v>180</v>
      </c>
      <c r="D56" s="259" t="s">
        <v>82</v>
      </c>
      <c r="E56" s="276">
        <v>0.18179999999999999</v>
      </c>
      <c r="F56" s="260">
        <v>21.98</v>
      </c>
      <c r="G56" s="261">
        <f t="shared" si="2"/>
        <v>4</v>
      </c>
      <c r="H56" s="92"/>
    </row>
    <row r="57" spans="1:10" ht="15">
      <c r="F57" s="279" t="s">
        <v>34</v>
      </c>
      <c r="G57" s="280">
        <f>SUM(G54:G56)</f>
        <v>163.29999999999998</v>
      </c>
      <c r="J57" s="104"/>
    </row>
    <row r="58" spans="1:10" ht="15" thickBot="1"/>
    <row r="59" spans="1:10" ht="15.75" thickTop="1">
      <c r="A59" s="296" t="s">
        <v>171</v>
      </c>
      <c r="B59" s="308" t="s">
        <v>427</v>
      </c>
      <c r="C59" s="308"/>
      <c r="D59" s="44"/>
      <c r="E59" s="44" t="s">
        <v>98</v>
      </c>
      <c r="F59" s="46">
        <f>G64</f>
        <v>55</v>
      </c>
      <c r="G59" s="300">
        <f>F59+F60</f>
        <v>72.7</v>
      </c>
    </row>
    <row r="60" spans="1:10" ht="15">
      <c r="A60" s="297"/>
      <c r="B60" s="309"/>
      <c r="C60" s="309"/>
      <c r="D60" s="45"/>
      <c r="E60" s="45" t="s">
        <v>99</v>
      </c>
      <c r="F60" s="115">
        <f>G66+G65</f>
        <v>17.7</v>
      </c>
      <c r="G60" s="301"/>
    </row>
    <row r="61" spans="1:10" ht="15">
      <c r="A61" s="90" t="s">
        <v>77</v>
      </c>
      <c r="B61" s="105" t="s">
        <v>17</v>
      </c>
      <c r="C61" s="114" t="s">
        <v>179</v>
      </c>
      <c r="D61" s="41"/>
      <c r="E61" s="60"/>
      <c r="F61" s="59"/>
      <c r="G61" s="42"/>
    </row>
    <row r="62" spans="1:10">
      <c r="A62" s="310" t="s">
        <v>87</v>
      </c>
      <c r="B62" s="311" t="s">
        <v>88</v>
      </c>
      <c r="C62" s="311" t="s">
        <v>89</v>
      </c>
      <c r="D62" s="315" t="s">
        <v>90</v>
      </c>
      <c r="E62" s="316" t="s">
        <v>91</v>
      </c>
      <c r="F62" s="315" t="s">
        <v>92</v>
      </c>
      <c r="G62" s="315" t="s">
        <v>93</v>
      </c>
    </row>
    <row r="63" spans="1:10">
      <c r="A63" s="303"/>
      <c r="B63" s="312"/>
      <c r="C63" s="312"/>
      <c r="D63" s="312"/>
      <c r="E63" s="314"/>
      <c r="F63" s="312"/>
      <c r="G63" s="312"/>
    </row>
    <row r="64" spans="1:10">
      <c r="A64" s="91" t="s">
        <v>78</v>
      </c>
      <c r="B64" s="257" t="s">
        <v>16</v>
      </c>
      <c r="C64" s="258" t="s">
        <v>35</v>
      </c>
      <c r="D64" s="259" t="s">
        <v>17</v>
      </c>
      <c r="E64" s="276">
        <v>1</v>
      </c>
      <c r="F64" s="260">
        <v>55</v>
      </c>
      <c r="G64" s="261">
        <f>ROUND((F64*E64),2)</f>
        <v>55</v>
      </c>
      <c r="H64" s="92"/>
    </row>
    <row r="65" spans="1:10" ht="25.5">
      <c r="A65" s="91" t="s">
        <v>79</v>
      </c>
      <c r="B65" s="257" t="s">
        <v>147</v>
      </c>
      <c r="C65" s="258" t="s">
        <v>188</v>
      </c>
      <c r="D65" s="259" t="s">
        <v>82</v>
      </c>
      <c r="E65" s="276">
        <v>0.72719999999999996</v>
      </c>
      <c r="F65" s="260">
        <v>18.84</v>
      </c>
      <c r="G65" s="261">
        <f t="shared" ref="G65:G66" si="3">ROUND((F65*E65),2)</f>
        <v>13.7</v>
      </c>
      <c r="H65" s="92"/>
    </row>
    <row r="66" spans="1:10" ht="25.5">
      <c r="A66" s="91" t="s">
        <v>79</v>
      </c>
      <c r="B66" s="257" t="s">
        <v>178</v>
      </c>
      <c r="C66" s="258" t="s">
        <v>180</v>
      </c>
      <c r="D66" s="259" t="s">
        <v>82</v>
      </c>
      <c r="E66" s="276">
        <v>0.18179999999999999</v>
      </c>
      <c r="F66" s="260">
        <v>21.98</v>
      </c>
      <c r="G66" s="261">
        <f t="shared" si="3"/>
        <v>4</v>
      </c>
      <c r="H66" s="92"/>
    </row>
    <row r="67" spans="1:10" ht="15">
      <c r="F67" s="279" t="s">
        <v>34</v>
      </c>
      <c r="G67" s="280">
        <f>SUM(G64:G66)</f>
        <v>72.7</v>
      </c>
      <c r="J67" s="104"/>
    </row>
    <row r="68" spans="1:10" ht="15" thickBot="1"/>
    <row r="69" spans="1:10" ht="15.75" thickTop="1">
      <c r="A69" s="296" t="s">
        <v>174</v>
      </c>
      <c r="B69" s="308" t="s">
        <v>428</v>
      </c>
      <c r="C69" s="308"/>
      <c r="D69" s="44"/>
      <c r="E69" s="44" t="s">
        <v>98</v>
      </c>
      <c r="F69" s="46">
        <f>G74</f>
        <v>2</v>
      </c>
      <c r="G69" s="300">
        <f>F69+F70</f>
        <v>5.66</v>
      </c>
    </row>
    <row r="70" spans="1:10" ht="15">
      <c r="A70" s="297"/>
      <c r="B70" s="309"/>
      <c r="C70" s="309"/>
      <c r="D70" s="45"/>
      <c r="E70" s="45" t="s">
        <v>99</v>
      </c>
      <c r="F70" s="115">
        <f>G75</f>
        <v>3.66</v>
      </c>
      <c r="G70" s="301"/>
    </row>
    <row r="71" spans="1:10" ht="15">
      <c r="A71" s="90" t="s">
        <v>77</v>
      </c>
      <c r="B71" s="105" t="s">
        <v>2</v>
      </c>
      <c r="C71" s="114" t="s">
        <v>187</v>
      </c>
      <c r="D71" s="41"/>
      <c r="E71" s="60"/>
      <c r="F71" s="59"/>
      <c r="G71" s="42"/>
    </row>
    <row r="72" spans="1:10">
      <c r="A72" s="310" t="s">
        <v>87</v>
      </c>
      <c r="B72" s="311" t="s">
        <v>88</v>
      </c>
      <c r="C72" s="311" t="s">
        <v>89</v>
      </c>
      <c r="D72" s="315" t="s">
        <v>90</v>
      </c>
      <c r="E72" s="316" t="s">
        <v>91</v>
      </c>
      <c r="F72" s="315" t="s">
        <v>92</v>
      </c>
      <c r="G72" s="315" t="s">
        <v>93</v>
      </c>
    </row>
    <row r="73" spans="1:10">
      <c r="A73" s="303"/>
      <c r="B73" s="312"/>
      <c r="C73" s="312"/>
      <c r="D73" s="312"/>
      <c r="E73" s="314"/>
      <c r="F73" s="312"/>
      <c r="G73" s="312"/>
    </row>
    <row r="74" spans="1:10">
      <c r="A74" s="91" t="s">
        <v>78</v>
      </c>
      <c r="B74" s="257" t="s">
        <v>16</v>
      </c>
      <c r="C74" s="258" t="s">
        <v>29</v>
      </c>
      <c r="D74" s="259" t="s">
        <v>2</v>
      </c>
      <c r="E74" s="276">
        <v>1</v>
      </c>
      <c r="F74" s="260">
        <v>2</v>
      </c>
      <c r="G74" s="261">
        <f>ROUND((F74*E74),2)</f>
        <v>2</v>
      </c>
      <c r="H74" s="92"/>
    </row>
    <row r="75" spans="1:10" ht="25.5">
      <c r="A75" s="91" t="s">
        <v>79</v>
      </c>
      <c r="B75" s="257" t="s">
        <v>178</v>
      </c>
      <c r="C75" s="258" t="s">
        <v>180</v>
      </c>
      <c r="D75" s="259" t="s">
        <v>82</v>
      </c>
      <c r="E75" s="276">
        <v>0.1666</v>
      </c>
      <c r="F75" s="260">
        <v>21.98</v>
      </c>
      <c r="G75" s="261">
        <f>ROUND((F75*E75),2)</f>
        <v>3.66</v>
      </c>
      <c r="H75" s="92"/>
    </row>
    <row r="76" spans="1:10" ht="15">
      <c r="F76" s="279" t="s">
        <v>34</v>
      </c>
      <c r="G76" s="280">
        <f>SUM(G74:G75)</f>
        <v>5.66</v>
      </c>
      <c r="J76" s="104"/>
    </row>
    <row r="77" spans="1:10" ht="15" thickBot="1"/>
    <row r="78" spans="1:10" ht="33.75" customHeight="1" thickTop="1">
      <c r="A78" s="296" t="s">
        <v>177</v>
      </c>
      <c r="B78" s="298" t="s">
        <v>241</v>
      </c>
      <c r="C78" s="298"/>
      <c r="D78" s="44"/>
      <c r="E78" s="44" t="s">
        <v>98</v>
      </c>
      <c r="F78" s="46">
        <f>ROUND((SUM(G83:G84)),2)</f>
        <v>1089.69</v>
      </c>
      <c r="G78" s="300">
        <f>ROUND((F78+F79),2)</f>
        <v>1238.73</v>
      </c>
    </row>
    <row r="79" spans="1:10" ht="33.75" customHeight="1">
      <c r="A79" s="297"/>
      <c r="B79" s="299"/>
      <c r="C79" s="299"/>
      <c r="D79" s="45"/>
      <c r="E79" s="45" t="s">
        <v>99</v>
      </c>
      <c r="F79" s="115">
        <f>ROUND((SUM(G85:G88)),2)</f>
        <v>149.04</v>
      </c>
      <c r="G79" s="301"/>
    </row>
    <row r="80" spans="1:10" ht="15">
      <c r="A80" s="90" t="s">
        <v>77</v>
      </c>
      <c r="B80" s="105" t="s">
        <v>17</v>
      </c>
      <c r="C80" s="114" t="s">
        <v>242</v>
      </c>
      <c r="D80" s="41"/>
      <c r="E80" s="60"/>
      <c r="F80" s="59"/>
      <c r="G80" s="42"/>
    </row>
    <row r="81" spans="1:10">
      <c r="A81" s="310" t="s">
        <v>87</v>
      </c>
      <c r="B81" s="311" t="s">
        <v>88</v>
      </c>
      <c r="C81" s="311" t="s">
        <v>89</v>
      </c>
      <c r="D81" s="315" t="s">
        <v>90</v>
      </c>
      <c r="E81" s="316" t="s">
        <v>91</v>
      </c>
      <c r="F81" s="315" t="s">
        <v>92</v>
      </c>
      <c r="G81" s="315" t="s">
        <v>93</v>
      </c>
    </row>
    <row r="82" spans="1:10">
      <c r="A82" s="303"/>
      <c r="B82" s="312"/>
      <c r="C82" s="312"/>
      <c r="D82" s="312"/>
      <c r="E82" s="314"/>
      <c r="F82" s="312"/>
      <c r="G82" s="312"/>
    </row>
    <row r="83" spans="1:10">
      <c r="A83" s="91" t="s">
        <v>78</v>
      </c>
      <c r="B83" s="257" t="s">
        <v>243</v>
      </c>
      <c r="C83" s="258" t="s">
        <v>247</v>
      </c>
      <c r="D83" s="259" t="s">
        <v>2</v>
      </c>
      <c r="E83" s="276">
        <v>9</v>
      </c>
      <c r="F83" s="260">
        <v>35.18</v>
      </c>
      <c r="G83" s="261">
        <f t="shared" ref="G83:G88" si="4">ROUND((F83*E83),2)</f>
        <v>316.62</v>
      </c>
      <c r="H83" s="92"/>
    </row>
    <row r="84" spans="1:10" ht="38.25">
      <c r="A84" s="91" t="s">
        <v>78</v>
      </c>
      <c r="B84" s="257" t="s">
        <v>518</v>
      </c>
      <c r="C84" s="258" t="s">
        <v>519</v>
      </c>
      <c r="D84" s="259" t="s">
        <v>17</v>
      </c>
      <c r="E84" s="276">
        <v>1</v>
      </c>
      <c r="F84" s="260">
        <v>773.07</v>
      </c>
      <c r="G84" s="261">
        <f t="shared" si="4"/>
        <v>773.07</v>
      </c>
      <c r="H84" s="92"/>
    </row>
    <row r="85" spans="1:10" ht="76.5">
      <c r="A85" s="91" t="s">
        <v>79</v>
      </c>
      <c r="B85" s="257" t="s">
        <v>244</v>
      </c>
      <c r="C85" s="258" t="s">
        <v>251</v>
      </c>
      <c r="D85" s="259" t="s">
        <v>80</v>
      </c>
      <c r="E85" s="276">
        <v>7.2999999999999995E-2</v>
      </c>
      <c r="F85" s="260">
        <v>214.11</v>
      </c>
      <c r="G85" s="261">
        <f t="shared" si="4"/>
        <v>15.63</v>
      </c>
      <c r="H85" s="92"/>
    </row>
    <row r="86" spans="1:10" ht="25.5">
      <c r="A86" s="91" t="s">
        <v>79</v>
      </c>
      <c r="B86" s="257" t="s">
        <v>245</v>
      </c>
      <c r="C86" s="258" t="s">
        <v>248</v>
      </c>
      <c r="D86" s="259" t="s">
        <v>82</v>
      </c>
      <c r="E86" s="276">
        <v>0.92400000000000004</v>
      </c>
      <c r="F86" s="260">
        <v>17.79</v>
      </c>
      <c r="G86" s="261">
        <f t="shared" si="4"/>
        <v>16.440000000000001</v>
      </c>
      <c r="H86" s="92"/>
    </row>
    <row r="87" spans="1:10" ht="25.5">
      <c r="A87" s="91" t="s">
        <v>79</v>
      </c>
      <c r="B87" s="257" t="s">
        <v>246</v>
      </c>
      <c r="C87" s="258" t="s">
        <v>249</v>
      </c>
      <c r="D87" s="259" t="s">
        <v>82</v>
      </c>
      <c r="E87" s="276">
        <v>3.0030000000000001</v>
      </c>
      <c r="F87" s="260">
        <v>23.23</v>
      </c>
      <c r="G87" s="261">
        <f t="shared" si="4"/>
        <v>69.760000000000005</v>
      </c>
      <c r="H87" s="92"/>
    </row>
    <row r="88" spans="1:10" ht="51">
      <c r="A88" s="91" t="s">
        <v>79</v>
      </c>
      <c r="B88" s="257" t="s">
        <v>148</v>
      </c>
      <c r="C88" s="258" t="s">
        <v>250</v>
      </c>
      <c r="D88" s="259" t="s">
        <v>1</v>
      </c>
      <c r="E88" s="276">
        <v>0.14599999999999999</v>
      </c>
      <c r="F88" s="260">
        <v>323.36</v>
      </c>
      <c r="G88" s="261">
        <f t="shared" si="4"/>
        <v>47.21</v>
      </c>
      <c r="H88" s="92"/>
    </row>
    <row r="89" spans="1:10" ht="15">
      <c r="F89" s="279" t="s">
        <v>34</v>
      </c>
      <c r="G89" s="280">
        <f>ROUND((SUM(G83:G88)),2)</f>
        <v>1238.73</v>
      </c>
      <c r="J89" s="104"/>
    </row>
    <row r="90" spans="1:10" ht="15" thickBot="1"/>
    <row r="91" spans="1:10" ht="15.75" thickTop="1">
      <c r="A91" s="296" t="s">
        <v>185</v>
      </c>
      <c r="B91" s="298" t="s">
        <v>362</v>
      </c>
      <c r="C91" s="298"/>
      <c r="D91" s="44"/>
      <c r="E91" s="44" t="s">
        <v>98</v>
      </c>
      <c r="F91" s="46">
        <f>G96+G99</f>
        <v>1.6099999999999999</v>
      </c>
      <c r="G91" s="300">
        <f>F91+F92</f>
        <v>2.4500000000000002</v>
      </c>
    </row>
    <row r="92" spans="1:10" ht="15">
      <c r="A92" s="297"/>
      <c r="B92" s="299"/>
      <c r="C92" s="299"/>
      <c r="D92" s="45"/>
      <c r="E92" s="45" t="s">
        <v>99</v>
      </c>
      <c r="F92" s="115">
        <f>G97+G98</f>
        <v>0.84000000000000008</v>
      </c>
      <c r="G92" s="301"/>
    </row>
    <row r="93" spans="1:10" ht="15">
      <c r="A93" s="90" t="s">
        <v>77</v>
      </c>
      <c r="B93" s="105" t="s">
        <v>2</v>
      </c>
      <c r="C93" s="114"/>
      <c r="D93" s="41"/>
      <c r="E93" s="60"/>
      <c r="F93" s="59"/>
      <c r="G93" s="42"/>
    </row>
    <row r="94" spans="1:10">
      <c r="A94" s="310" t="s">
        <v>87</v>
      </c>
      <c r="B94" s="311" t="s">
        <v>88</v>
      </c>
      <c r="C94" s="311" t="s">
        <v>89</v>
      </c>
      <c r="D94" s="315" t="s">
        <v>90</v>
      </c>
      <c r="E94" s="316" t="s">
        <v>91</v>
      </c>
      <c r="F94" s="315" t="s">
        <v>92</v>
      </c>
      <c r="G94" s="315" t="s">
        <v>93</v>
      </c>
    </row>
    <row r="95" spans="1:10">
      <c r="A95" s="303"/>
      <c r="B95" s="312"/>
      <c r="C95" s="312"/>
      <c r="D95" s="312"/>
      <c r="E95" s="314"/>
      <c r="F95" s="312"/>
      <c r="G95" s="312"/>
    </row>
    <row r="96" spans="1:10" ht="76.5">
      <c r="A96" s="91" t="s">
        <v>79</v>
      </c>
      <c r="B96" s="257" t="s">
        <v>354</v>
      </c>
      <c r="C96" s="258" t="s">
        <v>355</v>
      </c>
      <c r="D96" s="259" t="s">
        <v>82</v>
      </c>
      <c r="E96" s="276">
        <v>0.02</v>
      </c>
      <c r="F96" s="260">
        <v>24</v>
      </c>
      <c r="G96" s="261">
        <f>ROUND((F96*E96),2)</f>
        <v>0.48</v>
      </c>
      <c r="H96" s="92"/>
    </row>
    <row r="97" spans="1:10" ht="25.5">
      <c r="A97" s="91" t="s">
        <v>79</v>
      </c>
      <c r="B97" s="257" t="s">
        <v>356</v>
      </c>
      <c r="C97" s="258" t="s">
        <v>357</v>
      </c>
      <c r="D97" s="259" t="s">
        <v>82</v>
      </c>
      <c r="E97" s="276">
        <v>0.02</v>
      </c>
      <c r="F97" s="260">
        <v>22.79</v>
      </c>
      <c r="G97" s="261">
        <f t="shared" ref="G97:G99" si="5">ROUND((F97*E97),2)</f>
        <v>0.46</v>
      </c>
      <c r="H97" s="92"/>
    </row>
    <row r="98" spans="1:10" ht="25.5">
      <c r="A98" s="91" t="s">
        <v>79</v>
      </c>
      <c r="B98" s="257" t="s">
        <v>147</v>
      </c>
      <c r="C98" s="258" t="s">
        <v>188</v>
      </c>
      <c r="D98" s="259" t="s">
        <v>82</v>
      </c>
      <c r="E98" s="276">
        <v>0.02</v>
      </c>
      <c r="F98" s="260">
        <v>18.84</v>
      </c>
      <c r="G98" s="261">
        <f t="shared" si="5"/>
        <v>0.38</v>
      </c>
      <c r="H98" s="92"/>
    </row>
    <row r="99" spans="1:10" ht="38.25">
      <c r="A99" s="91" t="s">
        <v>78</v>
      </c>
      <c r="B99" s="257" t="s">
        <v>360</v>
      </c>
      <c r="C99" s="258" t="s">
        <v>361</v>
      </c>
      <c r="D99" s="259" t="s">
        <v>2</v>
      </c>
      <c r="E99" s="276">
        <v>1</v>
      </c>
      <c r="F99" s="260">
        <v>1.1299999999999999</v>
      </c>
      <c r="G99" s="261">
        <f t="shared" si="5"/>
        <v>1.1299999999999999</v>
      </c>
      <c r="H99" s="92"/>
    </row>
    <row r="100" spans="1:10" ht="15">
      <c r="F100" s="279" t="s">
        <v>34</v>
      </c>
      <c r="G100" s="280">
        <f>SUM(G96:G99)</f>
        <v>2.4499999999999997</v>
      </c>
      <c r="J100" s="104"/>
    </row>
    <row r="101" spans="1:10" ht="15" thickBot="1"/>
    <row r="102" spans="1:10" ht="15.75" thickTop="1">
      <c r="A102" s="296" t="s">
        <v>186</v>
      </c>
      <c r="B102" s="298" t="s">
        <v>358</v>
      </c>
      <c r="C102" s="298"/>
      <c r="D102" s="44"/>
      <c r="E102" s="44" t="s">
        <v>98</v>
      </c>
      <c r="F102" s="46">
        <f>G107</f>
        <v>1.75</v>
      </c>
      <c r="G102" s="300">
        <f>F102+F103</f>
        <v>2.7</v>
      </c>
    </row>
    <row r="103" spans="1:10" ht="15">
      <c r="A103" s="297"/>
      <c r="B103" s="299"/>
      <c r="C103" s="299"/>
      <c r="D103" s="45"/>
      <c r="E103" s="45" t="s">
        <v>99</v>
      </c>
      <c r="F103" s="115">
        <f>SUM(G108:G109)</f>
        <v>0.95</v>
      </c>
      <c r="G103" s="301"/>
    </row>
    <row r="104" spans="1:10" ht="15">
      <c r="A104" s="90" t="s">
        <v>77</v>
      </c>
      <c r="B104" s="105" t="s">
        <v>0</v>
      </c>
      <c r="C104" s="114"/>
      <c r="D104" s="41"/>
      <c r="E104" s="60"/>
      <c r="F104" s="59"/>
      <c r="G104" s="42"/>
    </row>
    <row r="105" spans="1:10">
      <c r="A105" s="310" t="s">
        <v>87</v>
      </c>
      <c r="B105" s="311" t="s">
        <v>88</v>
      </c>
      <c r="C105" s="311" t="s">
        <v>89</v>
      </c>
      <c r="D105" s="315" t="s">
        <v>90</v>
      </c>
      <c r="E105" s="316" t="s">
        <v>91</v>
      </c>
      <c r="F105" s="315" t="s">
        <v>92</v>
      </c>
      <c r="G105" s="315" t="s">
        <v>93</v>
      </c>
    </row>
    <row r="106" spans="1:10">
      <c r="A106" s="303"/>
      <c r="B106" s="312"/>
      <c r="C106" s="312"/>
      <c r="D106" s="312"/>
      <c r="E106" s="314"/>
      <c r="F106" s="312"/>
      <c r="G106" s="312"/>
    </row>
    <row r="107" spans="1:10" ht="25.5">
      <c r="A107" s="91" t="s">
        <v>78</v>
      </c>
      <c r="B107" s="257" t="s">
        <v>520</v>
      </c>
      <c r="C107" s="258" t="s">
        <v>359</v>
      </c>
      <c r="D107" s="259" t="s">
        <v>0</v>
      </c>
      <c r="E107" s="276">
        <v>1</v>
      </c>
      <c r="F107" s="260">
        <v>1.75</v>
      </c>
      <c r="G107" s="261">
        <f>ROUND((E107*F107),2)</f>
        <v>1.75</v>
      </c>
      <c r="H107" s="92"/>
    </row>
    <row r="108" spans="1:10" ht="25.5">
      <c r="A108" s="91" t="s">
        <v>79</v>
      </c>
      <c r="B108" s="257" t="s">
        <v>356</v>
      </c>
      <c r="C108" s="258" t="s">
        <v>357</v>
      </c>
      <c r="D108" s="259" t="s">
        <v>82</v>
      </c>
      <c r="E108" s="276">
        <v>2.5000000000000001E-2</v>
      </c>
      <c r="F108" s="260">
        <v>22.79</v>
      </c>
      <c r="G108" s="261">
        <f t="shared" ref="G108:G109" si="6">ROUND((E108*F108),2)</f>
        <v>0.56999999999999995</v>
      </c>
      <c r="H108" s="92"/>
    </row>
    <row r="109" spans="1:10" ht="25.5">
      <c r="A109" s="91" t="s">
        <v>79</v>
      </c>
      <c r="B109" s="257" t="s">
        <v>147</v>
      </c>
      <c r="C109" s="258" t="s">
        <v>188</v>
      </c>
      <c r="D109" s="259" t="s">
        <v>82</v>
      </c>
      <c r="E109" s="276">
        <v>0.02</v>
      </c>
      <c r="F109" s="260">
        <v>18.84</v>
      </c>
      <c r="G109" s="261">
        <f t="shared" si="6"/>
        <v>0.38</v>
      </c>
      <c r="H109" s="92"/>
    </row>
    <row r="110" spans="1:10" ht="15">
      <c r="F110" s="279" t="s">
        <v>34</v>
      </c>
      <c r="G110" s="280">
        <f>SUM(G107:G109)</f>
        <v>2.6999999999999997</v>
      </c>
      <c r="J110" s="104"/>
    </row>
    <row r="111" spans="1:10" ht="15" thickBot="1"/>
    <row r="112" spans="1:10" ht="15.75" customHeight="1" thickTop="1">
      <c r="A112" s="296" t="s">
        <v>189</v>
      </c>
      <c r="B112" s="308" t="s">
        <v>430</v>
      </c>
      <c r="C112" s="308"/>
      <c r="D112" s="44"/>
      <c r="E112" s="44" t="s">
        <v>98</v>
      </c>
      <c r="F112" s="46">
        <f>G117+G120+G121</f>
        <v>55.940000000000005</v>
      </c>
      <c r="G112" s="300">
        <f>F112+F113</f>
        <v>85.87</v>
      </c>
    </row>
    <row r="113" spans="1:10" ht="15" customHeight="1">
      <c r="A113" s="297"/>
      <c r="B113" s="309"/>
      <c r="C113" s="309"/>
      <c r="D113" s="45"/>
      <c r="E113" s="45" t="s">
        <v>99</v>
      </c>
      <c r="F113" s="115">
        <f>G118+G119</f>
        <v>29.93</v>
      </c>
      <c r="G113" s="301"/>
    </row>
    <row r="114" spans="1:10" ht="15">
      <c r="A114" s="90" t="s">
        <v>77</v>
      </c>
      <c r="B114" s="105" t="s">
        <v>1</v>
      </c>
      <c r="C114" s="114" t="s">
        <v>441</v>
      </c>
      <c r="D114" s="41"/>
      <c r="E114" s="60"/>
      <c r="F114" s="59"/>
      <c r="G114" s="42"/>
    </row>
    <row r="115" spans="1:10" ht="14.25" customHeight="1">
      <c r="A115" s="310" t="s">
        <v>87</v>
      </c>
      <c r="B115" s="311" t="s">
        <v>88</v>
      </c>
      <c r="C115" s="311" t="s">
        <v>89</v>
      </c>
      <c r="D115" s="311" t="s">
        <v>90</v>
      </c>
      <c r="E115" s="313" t="s">
        <v>91</v>
      </c>
      <c r="F115" s="311" t="s">
        <v>92</v>
      </c>
      <c r="G115" s="311" t="s">
        <v>93</v>
      </c>
    </row>
    <row r="116" spans="1:10" ht="14.25" customHeight="1">
      <c r="A116" s="303"/>
      <c r="B116" s="312"/>
      <c r="C116" s="312"/>
      <c r="D116" s="312"/>
      <c r="E116" s="314"/>
      <c r="F116" s="312"/>
      <c r="G116" s="312"/>
    </row>
    <row r="117" spans="1:10" ht="25.5">
      <c r="A117" s="91" t="s">
        <v>78</v>
      </c>
      <c r="B117" s="257" t="s">
        <v>391</v>
      </c>
      <c r="C117" s="258" t="s">
        <v>392</v>
      </c>
      <c r="D117" s="259" t="s">
        <v>1</v>
      </c>
      <c r="E117" s="276">
        <v>1</v>
      </c>
      <c r="F117" s="260">
        <v>55.56</v>
      </c>
      <c r="G117" s="261">
        <f>ROUND((F117*E117),2)</f>
        <v>55.56</v>
      </c>
      <c r="H117" s="92"/>
    </row>
    <row r="118" spans="1:10" ht="25.5">
      <c r="A118" s="91" t="s">
        <v>79</v>
      </c>
      <c r="B118" s="257" t="s">
        <v>356</v>
      </c>
      <c r="C118" s="258" t="s">
        <v>101</v>
      </c>
      <c r="D118" s="259" t="s">
        <v>82</v>
      </c>
      <c r="E118" s="276">
        <v>1.03</v>
      </c>
      <c r="F118" s="260">
        <v>22.79</v>
      </c>
      <c r="G118" s="261">
        <f t="shared" ref="G118:G121" si="7">ROUND((F118*E118),2)</f>
        <v>23.47</v>
      </c>
      <c r="H118" s="92"/>
    </row>
    <row r="119" spans="1:10" ht="25.5">
      <c r="A119" s="91" t="s">
        <v>79</v>
      </c>
      <c r="B119" s="257" t="s">
        <v>147</v>
      </c>
      <c r="C119" s="258" t="s">
        <v>83</v>
      </c>
      <c r="D119" s="259" t="s">
        <v>82</v>
      </c>
      <c r="E119" s="276">
        <v>0.34300000000000003</v>
      </c>
      <c r="F119" s="260">
        <v>18.84</v>
      </c>
      <c r="G119" s="261">
        <f t="shared" si="7"/>
        <v>6.46</v>
      </c>
      <c r="H119" s="92"/>
    </row>
    <row r="120" spans="1:10" ht="51">
      <c r="A120" s="91" t="s">
        <v>79</v>
      </c>
      <c r="B120" s="257" t="s">
        <v>521</v>
      </c>
      <c r="C120" s="258" t="s">
        <v>84</v>
      </c>
      <c r="D120" s="259" t="s">
        <v>80</v>
      </c>
      <c r="E120" s="276">
        <v>3.2000000000000001E-2</v>
      </c>
      <c r="F120" s="260">
        <v>11.17</v>
      </c>
      <c r="G120" s="261">
        <f t="shared" si="7"/>
        <v>0.36</v>
      </c>
      <c r="H120" s="92"/>
    </row>
    <row r="121" spans="1:10" ht="51">
      <c r="A121" s="91" t="s">
        <v>79</v>
      </c>
      <c r="B121" s="257" t="s">
        <v>522</v>
      </c>
      <c r="C121" s="258" t="s">
        <v>100</v>
      </c>
      <c r="D121" s="259" t="s">
        <v>85</v>
      </c>
      <c r="E121" s="276">
        <v>0.03</v>
      </c>
      <c r="F121" s="260">
        <v>0.54</v>
      </c>
      <c r="G121" s="261">
        <f t="shared" si="7"/>
        <v>0.02</v>
      </c>
      <c r="H121" s="92"/>
    </row>
    <row r="122" spans="1:10" ht="15">
      <c r="F122" s="279" t="s">
        <v>86</v>
      </c>
      <c r="G122" s="280">
        <f>SUM(G117:G121)</f>
        <v>85.86999999999999</v>
      </c>
      <c r="J122" s="104"/>
    </row>
    <row r="123" spans="1:10" ht="15" thickBot="1"/>
    <row r="124" spans="1:10" ht="15.75" thickTop="1">
      <c r="A124" s="296" t="s">
        <v>240</v>
      </c>
      <c r="B124" s="308" t="s">
        <v>438</v>
      </c>
      <c r="C124" s="308"/>
      <c r="D124" s="44"/>
      <c r="E124" s="44" t="s">
        <v>98</v>
      </c>
      <c r="F124" s="46">
        <f>G129</f>
        <v>3.24</v>
      </c>
      <c r="G124" s="300">
        <f>F124+F125</f>
        <v>3.33</v>
      </c>
    </row>
    <row r="125" spans="1:10" ht="15">
      <c r="A125" s="297"/>
      <c r="B125" s="309"/>
      <c r="C125" s="309"/>
      <c r="D125" s="45"/>
      <c r="E125" s="45" t="s">
        <v>99</v>
      </c>
      <c r="F125" s="115">
        <f>G130</f>
        <v>0.09</v>
      </c>
      <c r="G125" s="301"/>
    </row>
    <row r="126" spans="1:10" ht="15">
      <c r="A126" s="90" t="s">
        <v>77</v>
      </c>
      <c r="B126" s="105" t="s">
        <v>0</v>
      </c>
      <c r="C126" s="40"/>
      <c r="D126" s="41"/>
      <c r="E126" s="60"/>
      <c r="F126" s="59"/>
      <c r="G126" s="42"/>
    </row>
    <row r="127" spans="1:10">
      <c r="A127" s="310" t="s">
        <v>87</v>
      </c>
      <c r="B127" s="311" t="s">
        <v>88</v>
      </c>
      <c r="C127" s="311" t="s">
        <v>89</v>
      </c>
      <c r="D127" s="311" t="s">
        <v>90</v>
      </c>
      <c r="E127" s="313" t="s">
        <v>91</v>
      </c>
      <c r="F127" s="311" t="s">
        <v>92</v>
      </c>
      <c r="G127" s="311" t="s">
        <v>93</v>
      </c>
    </row>
    <row r="128" spans="1:10">
      <c r="A128" s="303"/>
      <c r="B128" s="312"/>
      <c r="C128" s="312"/>
      <c r="D128" s="312"/>
      <c r="E128" s="314"/>
      <c r="F128" s="312"/>
      <c r="G128" s="312"/>
    </row>
    <row r="129" spans="1:10" ht="38.25">
      <c r="A129" s="91" t="s">
        <v>78</v>
      </c>
      <c r="B129" s="257" t="s">
        <v>16</v>
      </c>
      <c r="C129" s="258" t="str">
        <f>UPPER("Rede de Proteção Para Campos e Quadras Society SOB MEDIDA FIO 2 Malha 14")</f>
        <v>REDE DE PROTEÇÃO PARA CAMPOS E QUADRAS SOCIETY SOB MEDIDA FIO 2 MALHA 14</v>
      </c>
      <c r="D129" s="259" t="s">
        <v>0</v>
      </c>
      <c r="E129" s="276">
        <v>1</v>
      </c>
      <c r="F129" s="260">
        <v>3.24</v>
      </c>
      <c r="G129" s="261">
        <f>ROUND((F129*E129),2)</f>
        <v>3.24</v>
      </c>
      <c r="H129" s="92"/>
    </row>
    <row r="130" spans="1:10" ht="25.5">
      <c r="A130" s="91" t="s">
        <v>79</v>
      </c>
      <c r="B130" s="257" t="s">
        <v>496</v>
      </c>
      <c r="C130" s="258" t="s">
        <v>497</v>
      </c>
      <c r="D130" s="259" t="s">
        <v>82</v>
      </c>
      <c r="E130" s="276">
        <f>8/2128</f>
        <v>3.7593984962406013E-3</v>
      </c>
      <c r="F130" s="260">
        <v>22.89</v>
      </c>
      <c r="G130" s="261">
        <f>ROUND((F130*E130),2)</f>
        <v>0.09</v>
      </c>
      <c r="H130" s="92"/>
    </row>
    <row r="131" spans="1:10" ht="15">
      <c r="F131" s="279" t="s">
        <v>86</v>
      </c>
      <c r="G131" s="280">
        <f>SUM(G129:G130)</f>
        <v>3.33</v>
      </c>
      <c r="J131" s="104"/>
    </row>
    <row r="132" spans="1:10" ht="15" thickBot="1"/>
    <row r="133" spans="1:10" ht="15.75" thickTop="1">
      <c r="A133" s="328" t="s">
        <v>460</v>
      </c>
      <c r="B133" s="308" t="s">
        <v>449</v>
      </c>
      <c r="C133" s="308"/>
      <c r="D133" s="255"/>
      <c r="E133" s="253" t="s">
        <v>98</v>
      </c>
      <c r="F133" s="46">
        <f>G138+G141+G142</f>
        <v>68.289999999999992</v>
      </c>
      <c r="G133" s="300">
        <f>F133+F134</f>
        <v>98.22</v>
      </c>
    </row>
    <row r="134" spans="1:10" ht="15">
      <c r="A134" s="329"/>
      <c r="B134" s="309"/>
      <c r="C134" s="309"/>
      <c r="D134" s="45"/>
      <c r="E134" s="254" t="s">
        <v>99</v>
      </c>
      <c r="F134" s="115">
        <f>G139+G140</f>
        <v>29.93</v>
      </c>
      <c r="G134" s="301"/>
    </row>
    <row r="135" spans="1:10" ht="15">
      <c r="A135" s="256" t="s">
        <v>77</v>
      </c>
      <c r="B135" s="105" t="s">
        <v>1</v>
      </c>
      <c r="C135" s="114" t="s">
        <v>441</v>
      </c>
      <c r="D135" s="41"/>
      <c r="E135" s="60"/>
      <c r="F135" s="59"/>
      <c r="G135" s="42"/>
    </row>
    <row r="136" spans="1:10">
      <c r="A136" s="304" t="s">
        <v>87</v>
      </c>
      <c r="B136" s="304" t="s">
        <v>88</v>
      </c>
      <c r="C136" s="304" t="s">
        <v>89</v>
      </c>
      <c r="D136" s="304" t="s">
        <v>90</v>
      </c>
      <c r="E136" s="306" t="s">
        <v>91</v>
      </c>
      <c r="F136" s="304" t="s">
        <v>92</v>
      </c>
      <c r="G136" s="304" t="s">
        <v>93</v>
      </c>
    </row>
    <row r="137" spans="1:10">
      <c r="A137" s="305"/>
      <c r="B137" s="305"/>
      <c r="C137" s="305"/>
      <c r="D137" s="305"/>
      <c r="E137" s="307"/>
      <c r="F137" s="305"/>
      <c r="G137" s="305"/>
    </row>
    <row r="138" spans="1:10" ht="38.25">
      <c r="A138" s="91" t="s">
        <v>78</v>
      </c>
      <c r="B138" s="257" t="s">
        <v>523</v>
      </c>
      <c r="C138" s="258" t="s">
        <v>455</v>
      </c>
      <c r="D138" s="259" t="s">
        <v>1</v>
      </c>
      <c r="E138" s="276">
        <v>1</v>
      </c>
      <c r="F138" s="260">
        <v>67.91</v>
      </c>
      <c r="G138" s="261">
        <f>ROUND((F138*E138),2)</f>
        <v>67.91</v>
      </c>
      <c r="H138" s="92"/>
    </row>
    <row r="139" spans="1:10" ht="25.5">
      <c r="A139" s="91" t="s">
        <v>79</v>
      </c>
      <c r="B139" s="257" t="s">
        <v>356</v>
      </c>
      <c r="C139" s="258" t="s">
        <v>101</v>
      </c>
      <c r="D139" s="259" t="s">
        <v>82</v>
      </c>
      <c r="E139" s="276">
        <v>1.03</v>
      </c>
      <c r="F139" s="260">
        <v>22.79</v>
      </c>
      <c r="G139" s="261">
        <f t="shared" ref="G139:G142" si="8">ROUND((F139*E139),2)</f>
        <v>23.47</v>
      </c>
      <c r="H139" s="92"/>
    </row>
    <row r="140" spans="1:10" ht="25.5">
      <c r="A140" s="91" t="s">
        <v>79</v>
      </c>
      <c r="B140" s="257" t="s">
        <v>147</v>
      </c>
      <c r="C140" s="258" t="s">
        <v>83</v>
      </c>
      <c r="D140" s="259" t="s">
        <v>82</v>
      </c>
      <c r="E140" s="276">
        <v>0.34300000000000003</v>
      </c>
      <c r="F140" s="260">
        <v>18.84</v>
      </c>
      <c r="G140" s="261">
        <f t="shared" si="8"/>
        <v>6.46</v>
      </c>
      <c r="H140" s="92"/>
    </row>
    <row r="141" spans="1:10" ht="51">
      <c r="A141" s="91" t="s">
        <v>79</v>
      </c>
      <c r="B141" s="257" t="s">
        <v>521</v>
      </c>
      <c r="C141" s="258" t="s">
        <v>84</v>
      </c>
      <c r="D141" s="259" t="s">
        <v>80</v>
      </c>
      <c r="E141" s="276">
        <v>3.2000000000000001E-2</v>
      </c>
      <c r="F141" s="260">
        <v>11.17</v>
      </c>
      <c r="G141" s="261">
        <f t="shared" si="8"/>
        <v>0.36</v>
      </c>
      <c r="H141" s="92"/>
    </row>
    <row r="142" spans="1:10" ht="51">
      <c r="A142" s="91" t="s">
        <v>79</v>
      </c>
      <c r="B142" s="257" t="s">
        <v>522</v>
      </c>
      <c r="C142" s="258" t="s">
        <v>100</v>
      </c>
      <c r="D142" s="259" t="s">
        <v>85</v>
      </c>
      <c r="E142" s="276">
        <v>0.03</v>
      </c>
      <c r="F142" s="260">
        <v>0.54</v>
      </c>
      <c r="G142" s="261">
        <f t="shared" si="8"/>
        <v>0.02</v>
      </c>
      <c r="H142" s="92"/>
    </row>
    <row r="143" spans="1:10" ht="15">
      <c r="F143" s="279" t="s">
        <v>86</v>
      </c>
      <c r="G143" s="280">
        <f>SUM(G138:G142)</f>
        <v>98.219999999999985</v>
      </c>
      <c r="J143" s="104"/>
    </row>
    <row r="144" spans="1:10" ht="15" thickBot="1"/>
    <row r="145" spans="1:10" ht="15.75" thickTop="1">
      <c r="A145" s="296" t="s">
        <v>461</v>
      </c>
      <c r="B145" s="308" t="s">
        <v>450</v>
      </c>
      <c r="C145" s="308"/>
      <c r="D145" s="44"/>
      <c r="E145" s="44" t="s">
        <v>98</v>
      </c>
      <c r="F145" s="46">
        <f>G150+G153+G154</f>
        <v>59.2</v>
      </c>
      <c r="G145" s="300">
        <f>F145+F146</f>
        <v>89.13</v>
      </c>
    </row>
    <row r="146" spans="1:10" ht="15">
      <c r="A146" s="297"/>
      <c r="B146" s="309"/>
      <c r="C146" s="309"/>
      <c r="D146" s="45"/>
      <c r="E146" s="45" t="s">
        <v>99</v>
      </c>
      <c r="F146" s="115">
        <f>G151+G152</f>
        <v>29.93</v>
      </c>
      <c r="G146" s="301"/>
    </row>
    <row r="147" spans="1:10" ht="15">
      <c r="A147" s="90" t="s">
        <v>77</v>
      </c>
      <c r="B147" s="105" t="s">
        <v>1</v>
      </c>
      <c r="C147" s="114" t="s">
        <v>441</v>
      </c>
      <c r="D147" s="41"/>
      <c r="E147" s="60"/>
      <c r="F147" s="59"/>
      <c r="G147" s="42"/>
    </row>
    <row r="148" spans="1:10">
      <c r="A148" s="302" t="s">
        <v>87</v>
      </c>
      <c r="B148" s="304" t="s">
        <v>88</v>
      </c>
      <c r="C148" s="304" t="s">
        <v>89</v>
      </c>
      <c r="D148" s="304" t="s">
        <v>90</v>
      </c>
      <c r="E148" s="306" t="s">
        <v>91</v>
      </c>
      <c r="F148" s="304" t="s">
        <v>92</v>
      </c>
      <c r="G148" s="304" t="s">
        <v>93</v>
      </c>
    </row>
    <row r="149" spans="1:10">
      <c r="A149" s="303"/>
      <c r="B149" s="305"/>
      <c r="C149" s="305"/>
      <c r="D149" s="305"/>
      <c r="E149" s="307"/>
      <c r="F149" s="305"/>
      <c r="G149" s="305"/>
    </row>
    <row r="150" spans="1:10" ht="25.5">
      <c r="A150" s="91" t="s">
        <v>78</v>
      </c>
      <c r="B150" s="257" t="s">
        <v>456</v>
      </c>
      <c r="C150" s="258" t="s">
        <v>457</v>
      </c>
      <c r="D150" s="259" t="s">
        <v>1</v>
      </c>
      <c r="E150" s="276">
        <v>1</v>
      </c>
      <c r="F150" s="260">
        <v>58.82</v>
      </c>
      <c r="G150" s="261">
        <f>ROUND((F150*E150),2)</f>
        <v>58.82</v>
      </c>
      <c r="H150" s="92"/>
    </row>
    <row r="151" spans="1:10" ht="25.5">
      <c r="A151" s="91" t="s">
        <v>79</v>
      </c>
      <c r="B151" s="257" t="s">
        <v>356</v>
      </c>
      <c r="C151" s="258" t="s">
        <v>458</v>
      </c>
      <c r="D151" s="259" t="s">
        <v>82</v>
      </c>
      <c r="E151" s="276">
        <v>1.03</v>
      </c>
      <c r="F151" s="260">
        <v>22.79</v>
      </c>
      <c r="G151" s="261">
        <f t="shared" ref="G151:G154" si="9">ROUND((F151*E151),2)</f>
        <v>23.47</v>
      </c>
      <c r="H151" s="92"/>
    </row>
    <row r="152" spans="1:10" ht="25.5">
      <c r="A152" s="91" t="s">
        <v>79</v>
      </c>
      <c r="B152" s="257" t="s">
        <v>147</v>
      </c>
      <c r="C152" s="258" t="s">
        <v>83</v>
      </c>
      <c r="D152" s="259" t="s">
        <v>82</v>
      </c>
      <c r="E152" s="276">
        <v>0.34300000000000003</v>
      </c>
      <c r="F152" s="260">
        <v>18.84</v>
      </c>
      <c r="G152" s="261">
        <f t="shared" si="9"/>
        <v>6.46</v>
      </c>
      <c r="H152" s="92"/>
    </row>
    <row r="153" spans="1:10" ht="51">
      <c r="A153" s="91" t="s">
        <v>79</v>
      </c>
      <c r="B153" s="257" t="s">
        <v>521</v>
      </c>
      <c r="C153" s="258" t="s">
        <v>84</v>
      </c>
      <c r="D153" s="259" t="s">
        <v>80</v>
      </c>
      <c r="E153" s="276">
        <v>3.2000000000000001E-2</v>
      </c>
      <c r="F153" s="260">
        <v>11.17</v>
      </c>
      <c r="G153" s="261">
        <f t="shared" si="9"/>
        <v>0.36</v>
      </c>
      <c r="H153" s="92"/>
    </row>
    <row r="154" spans="1:10" ht="51">
      <c r="A154" s="91" t="s">
        <v>79</v>
      </c>
      <c r="B154" s="257" t="s">
        <v>522</v>
      </c>
      <c r="C154" s="258" t="s">
        <v>459</v>
      </c>
      <c r="D154" s="259" t="s">
        <v>85</v>
      </c>
      <c r="E154" s="276">
        <v>0.03</v>
      </c>
      <c r="F154" s="260">
        <v>0.54</v>
      </c>
      <c r="G154" s="261">
        <f t="shared" si="9"/>
        <v>0.02</v>
      </c>
      <c r="H154" s="92"/>
    </row>
    <row r="155" spans="1:10" ht="15">
      <c r="F155" s="279" t="s">
        <v>86</v>
      </c>
      <c r="G155" s="280">
        <f>SUM(G150:G154)</f>
        <v>89.129999999999981</v>
      </c>
      <c r="J155" s="104"/>
    </row>
    <row r="156" spans="1:10" ht="15" thickBot="1"/>
    <row r="157" spans="1:10" ht="15.75" thickTop="1">
      <c r="A157" s="296" t="s">
        <v>504</v>
      </c>
      <c r="B157" s="298" t="s">
        <v>506</v>
      </c>
      <c r="C157" s="298"/>
      <c r="D157" s="44"/>
      <c r="E157" s="44" t="s">
        <v>98</v>
      </c>
      <c r="F157" s="46">
        <f>G162+G165+G166</f>
        <v>481.93</v>
      </c>
      <c r="G157" s="300">
        <f>F157+F158</f>
        <v>500.45</v>
      </c>
    </row>
    <row r="158" spans="1:10" ht="15">
      <c r="A158" s="297"/>
      <c r="B158" s="299"/>
      <c r="C158" s="299"/>
      <c r="D158" s="45"/>
      <c r="E158" s="45" t="s">
        <v>99</v>
      </c>
      <c r="F158" s="115">
        <f>G163+G164</f>
        <v>18.52</v>
      </c>
      <c r="G158" s="301"/>
    </row>
    <row r="159" spans="1:10" ht="15">
      <c r="A159" s="90" t="s">
        <v>77</v>
      </c>
      <c r="B159" s="105" t="s">
        <v>1</v>
      </c>
      <c r="C159" s="114"/>
      <c r="D159" s="41"/>
      <c r="E159" s="60"/>
      <c r="F159" s="59"/>
      <c r="G159" s="42"/>
    </row>
    <row r="160" spans="1:10">
      <c r="A160" s="302" t="s">
        <v>87</v>
      </c>
      <c r="B160" s="304" t="s">
        <v>88</v>
      </c>
      <c r="C160" s="304" t="s">
        <v>89</v>
      </c>
      <c r="D160" s="304" t="s">
        <v>90</v>
      </c>
      <c r="E160" s="306" t="s">
        <v>91</v>
      </c>
      <c r="F160" s="304" t="s">
        <v>92</v>
      </c>
      <c r="G160" s="304" t="s">
        <v>93</v>
      </c>
    </row>
    <row r="161" spans="1:10">
      <c r="A161" s="303"/>
      <c r="B161" s="305"/>
      <c r="C161" s="305"/>
      <c r="D161" s="305"/>
      <c r="E161" s="307"/>
      <c r="F161" s="305"/>
      <c r="G161" s="305"/>
    </row>
    <row r="162" spans="1:10" ht="38.25">
      <c r="A162" s="91" t="s">
        <v>78</v>
      </c>
      <c r="B162" s="257" t="s">
        <v>502</v>
      </c>
      <c r="C162" s="258" t="s">
        <v>503</v>
      </c>
      <c r="D162" s="259" t="s">
        <v>1</v>
      </c>
      <c r="E162" s="276">
        <v>1.1499999999999999</v>
      </c>
      <c r="F162" s="260">
        <v>418.88</v>
      </c>
      <c r="G162" s="261">
        <f>ROUND((F162*E162),2)</f>
        <v>481.71</v>
      </c>
      <c r="H162" s="92"/>
    </row>
    <row r="163" spans="1:10" ht="25.5">
      <c r="A163" s="91" t="s">
        <v>79</v>
      </c>
      <c r="B163" s="257" t="s">
        <v>356</v>
      </c>
      <c r="C163" s="258" t="s">
        <v>101</v>
      </c>
      <c r="D163" s="259" t="s">
        <v>82</v>
      </c>
      <c r="E163" s="276">
        <v>0.36299999999999999</v>
      </c>
      <c r="F163" s="260">
        <v>22.79</v>
      </c>
      <c r="G163" s="261">
        <f t="shared" ref="G163:G166" si="10">ROUND((F163*E163),2)</f>
        <v>8.27</v>
      </c>
      <c r="H163" s="92"/>
    </row>
    <row r="164" spans="1:10" ht="25.5">
      <c r="A164" s="91" t="s">
        <v>79</v>
      </c>
      <c r="B164" s="257" t="s">
        <v>147</v>
      </c>
      <c r="C164" s="258" t="s">
        <v>188</v>
      </c>
      <c r="D164" s="259" t="s">
        <v>82</v>
      </c>
      <c r="E164" s="276">
        <v>0.54400000000000004</v>
      </c>
      <c r="F164" s="260">
        <v>18.84</v>
      </c>
      <c r="G164" s="261">
        <f t="shared" si="10"/>
        <v>10.25</v>
      </c>
      <c r="H164" s="92"/>
    </row>
    <row r="165" spans="1:10" ht="51">
      <c r="A165" s="91" t="s">
        <v>79</v>
      </c>
      <c r="B165" s="257" t="s">
        <v>498</v>
      </c>
      <c r="C165" s="258" t="s">
        <v>500</v>
      </c>
      <c r="D165" s="259" t="s">
        <v>80</v>
      </c>
      <c r="E165" s="276">
        <v>8.7999999999999995E-2</v>
      </c>
      <c r="F165" s="260">
        <v>2.04</v>
      </c>
      <c r="G165" s="261">
        <f t="shared" si="10"/>
        <v>0.18</v>
      </c>
      <c r="H165" s="92"/>
    </row>
    <row r="166" spans="1:10" ht="51">
      <c r="A166" s="91" t="s">
        <v>79</v>
      </c>
      <c r="B166" s="257" t="s">
        <v>499</v>
      </c>
      <c r="C166" s="258" t="s">
        <v>501</v>
      </c>
      <c r="D166" s="259" t="s">
        <v>80</v>
      </c>
      <c r="E166" s="276">
        <v>9.2999999999999999E-2</v>
      </c>
      <c r="F166" s="260">
        <v>0.43</v>
      </c>
      <c r="G166" s="261">
        <f t="shared" si="10"/>
        <v>0.04</v>
      </c>
      <c r="H166" s="92"/>
    </row>
    <row r="167" spans="1:10" ht="15">
      <c r="F167" s="279" t="s">
        <v>86</v>
      </c>
      <c r="G167" s="280">
        <f>SUM(G162:G166)</f>
        <v>500.45</v>
      </c>
      <c r="J167" s="104"/>
    </row>
  </sheetData>
  <mergeCells count="155">
    <mergeCell ref="E148:E149"/>
    <mergeCell ref="F148:F149"/>
    <mergeCell ref="G148:G149"/>
    <mergeCell ref="A133:A134"/>
    <mergeCell ref="B133:C134"/>
    <mergeCell ref="G133:G134"/>
    <mergeCell ref="A136:A137"/>
    <mergeCell ref="B136:B137"/>
    <mergeCell ref="C136:C137"/>
    <mergeCell ref="D136:D137"/>
    <mergeCell ref="E136:E137"/>
    <mergeCell ref="F136:F137"/>
    <mergeCell ref="G136:G137"/>
    <mergeCell ref="A145:A146"/>
    <mergeCell ref="B145:C146"/>
    <mergeCell ref="G145:G146"/>
    <mergeCell ref="A148:A149"/>
    <mergeCell ref="B148:B149"/>
    <mergeCell ref="C148:C149"/>
    <mergeCell ref="D148:D149"/>
    <mergeCell ref="A72:A73"/>
    <mergeCell ref="B72:B73"/>
    <mergeCell ref="A6:A7"/>
    <mergeCell ref="B6:C7"/>
    <mergeCell ref="G6:G7"/>
    <mergeCell ref="A9:A10"/>
    <mergeCell ref="B9:B10"/>
    <mergeCell ref="C9:C10"/>
    <mergeCell ref="D9:D10"/>
    <mergeCell ref="E9:E10"/>
    <mergeCell ref="F9:F10"/>
    <mergeCell ref="G9:G10"/>
    <mergeCell ref="C72:C73"/>
    <mergeCell ref="D72:D73"/>
    <mergeCell ref="E72:E73"/>
    <mergeCell ref="F72:F73"/>
    <mergeCell ref="G72:G73"/>
    <mergeCell ref="A59:A60"/>
    <mergeCell ref="B59:C60"/>
    <mergeCell ref="G59:G60"/>
    <mergeCell ref="A62:A63"/>
    <mergeCell ref="B62:B63"/>
    <mergeCell ref="C62:C63"/>
    <mergeCell ref="D62:D63"/>
    <mergeCell ref="A1:G1"/>
    <mergeCell ref="A2:B2"/>
    <mergeCell ref="A3:G3"/>
    <mergeCell ref="C2:D2"/>
    <mergeCell ref="E2:F2"/>
    <mergeCell ref="C42:C43"/>
    <mergeCell ref="D42:D43"/>
    <mergeCell ref="E42:E43"/>
    <mergeCell ref="F42:F43"/>
    <mergeCell ref="G42:G43"/>
    <mergeCell ref="A30:A31"/>
    <mergeCell ref="B30:C31"/>
    <mergeCell ref="G30:G31"/>
    <mergeCell ref="A33:A34"/>
    <mergeCell ref="B33:B34"/>
    <mergeCell ref="C33:C34"/>
    <mergeCell ref="D33:D34"/>
    <mergeCell ref="E33:E34"/>
    <mergeCell ref="F33:F34"/>
    <mergeCell ref="G33:G34"/>
    <mergeCell ref="A39:A40"/>
    <mergeCell ref="B39:C40"/>
    <mergeCell ref="G39:G40"/>
    <mergeCell ref="A42:A43"/>
    <mergeCell ref="E62:E63"/>
    <mergeCell ref="F62:F63"/>
    <mergeCell ref="G62:G63"/>
    <mergeCell ref="A69:A70"/>
    <mergeCell ref="B69:C70"/>
    <mergeCell ref="G69:G70"/>
    <mergeCell ref="A49:A50"/>
    <mergeCell ref="B49:C50"/>
    <mergeCell ref="G49:G50"/>
    <mergeCell ref="A52:A53"/>
    <mergeCell ref="B52:B53"/>
    <mergeCell ref="C52:C53"/>
    <mergeCell ref="D52:D53"/>
    <mergeCell ref="E52:E53"/>
    <mergeCell ref="F52:F53"/>
    <mergeCell ref="G52:G53"/>
    <mergeCell ref="B42:B43"/>
    <mergeCell ref="A21:A22"/>
    <mergeCell ref="B21:C22"/>
    <mergeCell ref="G21:G22"/>
    <mergeCell ref="A24:A25"/>
    <mergeCell ref="B24:B25"/>
    <mergeCell ref="C24:C25"/>
    <mergeCell ref="D24:D25"/>
    <mergeCell ref="E24:E25"/>
    <mergeCell ref="F24:F25"/>
    <mergeCell ref="G24:G25"/>
    <mergeCell ref="A78:A79"/>
    <mergeCell ref="B78:C79"/>
    <mergeCell ref="G78:G79"/>
    <mergeCell ref="A81:A82"/>
    <mergeCell ref="B81:B82"/>
    <mergeCell ref="C81:C82"/>
    <mergeCell ref="D81:D82"/>
    <mergeCell ref="E81:E82"/>
    <mergeCell ref="F81:F82"/>
    <mergeCell ref="G81:G82"/>
    <mergeCell ref="A91:A92"/>
    <mergeCell ref="B91:C92"/>
    <mergeCell ref="G91:G92"/>
    <mergeCell ref="A94:A95"/>
    <mergeCell ref="B94:B95"/>
    <mergeCell ref="C94:C95"/>
    <mergeCell ref="D94:D95"/>
    <mergeCell ref="E94:E95"/>
    <mergeCell ref="F94:F95"/>
    <mergeCell ref="G94:G95"/>
    <mergeCell ref="A102:A103"/>
    <mergeCell ref="B102:C103"/>
    <mergeCell ref="G102:G103"/>
    <mergeCell ref="A105:A106"/>
    <mergeCell ref="B105:B106"/>
    <mergeCell ref="C105:C106"/>
    <mergeCell ref="D105:D106"/>
    <mergeCell ref="E105:E106"/>
    <mergeCell ref="F105:F106"/>
    <mergeCell ref="G105:G106"/>
    <mergeCell ref="A112:A113"/>
    <mergeCell ref="B112:C113"/>
    <mergeCell ref="G112:G113"/>
    <mergeCell ref="A115:A116"/>
    <mergeCell ref="B115:B116"/>
    <mergeCell ref="C115:C116"/>
    <mergeCell ref="D115:D116"/>
    <mergeCell ref="E115:E116"/>
    <mergeCell ref="F115:F116"/>
    <mergeCell ref="G115:G116"/>
    <mergeCell ref="A124:A125"/>
    <mergeCell ref="B124:C125"/>
    <mergeCell ref="G124:G125"/>
    <mergeCell ref="A127:A128"/>
    <mergeCell ref="B127:B128"/>
    <mergeCell ref="C127:C128"/>
    <mergeCell ref="D127:D128"/>
    <mergeCell ref="E127:E128"/>
    <mergeCell ref="F127:F128"/>
    <mergeCell ref="G127:G128"/>
    <mergeCell ref="A157:A158"/>
    <mergeCell ref="B157:C158"/>
    <mergeCell ref="G157:G158"/>
    <mergeCell ref="A160:A161"/>
    <mergeCell ref="B160:B161"/>
    <mergeCell ref="C160:C161"/>
    <mergeCell ref="D160:D161"/>
    <mergeCell ref="E160:E161"/>
    <mergeCell ref="F160:F161"/>
    <mergeCell ref="G160:G161"/>
  </mergeCells>
  <printOptions horizontalCentered="1"/>
  <pageMargins left="0.11811023622047245" right="0.11811023622047245" top="0.39370078740157483" bottom="0.59055118110236227" header="0.31496062992125984" footer="0.31496062992125984"/>
  <pageSetup paperSize="9" scale="5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90"/>
  <sheetViews>
    <sheetView topLeftCell="D67" workbookViewId="0">
      <selection activeCell="K96" sqref="K96"/>
    </sheetView>
  </sheetViews>
  <sheetFormatPr defaultRowHeight="15"/>
  <cols>
    <col min="1" max="1" width="31.140625" customWidth="1"/>
    <col min="2" max="2" width="18.7109375" customWidth="1"/>
    <col min="3" max="3" width="13.5703125" bestFit="1" customWidth="1"/>
    <col min="4" max="4" width="22.5703125" customWidth="1"/>
    <col min="5" max="5" width="21" bestFit="1" customWidth="1"/>
    <col min="6" max="6" width="10.140625" customWidth="1"/>
    <col min="8" max="8" width="22.85546875" style="25" bestFit="1" customWidth="1"/>
    <col min="9" max="9" width="18.5703125" style="25" bestFit="1" customWidth="1"/>
    <col min="10" max="10" width="32.42578125" bestFit="1" customWidth="1"/>
    <col min="11" max="11" width="21.140625" style="25" bestFit="1" customWidth="1"/>
    <col min="12" max="12" width="10.7109375" bestFit="1" customWidth="1"/>
    <col min="14" max="14" width="10.140625" bestFit="1" customWidth="1"/>
    <col min="15" max="15" width="10" bestFit="1" customWidth="1"/>
    <col min="16" max="16" width="5.42578125" style="94" customWidth="1"/>
    <col min="18" max="19" width="12.7109375" customWidth="1"/>
  </cols>
  <sheetData>
    <row r="1" spans="1:19" ht="15.75" thickTop="1">
      <c r="A1" s="355" t="s">
        <v>153</v>
      </c>
      <c r="B1" s="356"/>
      <c r="C1" s="262" t="s">
        <v>286</v>
      </c>
    </row>
    <row r="2" spans="1:19">
      <c r="A2" s="121" t="s">
        <v>154</v>
      </c>
      <c r="B2" s="122" t="s">
        <v>156</v>
      </c>
      <c r="C2" s="8">
        <f>28.5*44</f>
        <v>1254</v>
      </c>
      <c r="H2" s="117"/>
      <c r="I2" s="117"/>
      <c r="K2" s="117"/>
    </row>
    <row r="3" spans="1:19">
      <c r="A3" s="121" t="s">
        <v>155</v>
      </c>
      <c r="B3" s="122" t="s">
        <v>157</v>
      </c>
      <c r="C3" s="8">
        <f>26.5*42</f>
        <v>1113</v>
      </c>
      <c r="H3" s="117"/>
      <c r="I3" s="117"/>
      <c r="K3" s="117"/>
    </row>
    <row r="4" spans="1:19" ht="15.75" thickBot="1">
      <c r="A4" s="123" t="s">
        <v>158</v>
      </c>
      <c r="B4" s="124" t="s">
        <v>475</v>
      </c>
      <c r="C4" s="8">
        <f>29*14</f>
        <v>406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52"/>
      <c r="Q4" s="125"/>
      <c r="R4" s="125"/>
    </row>
    <row r="5" spans="1:19" ht="16.5" thickTop="1" thickBot="1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53"/>
      <c r="Q5" s="116"/>
      <c r="R5" s="116"/>
    </row>
    <row r="6" spans="1:19" ht="16.5" thickTop="1" thickBot="1">
      <c r="N6" s="387" t="s">
        <v>209</v>
      </c>
      <c r="O6" s="388"/>
      <c r="P6" s="64"/>
      <c r="R6" s="363" t="s">
        <v>210</v>
      </c>
      <c r="S6" s="364"/>
    </row>
    <row r="7" spans="1:19" ht="30.75" customHeight="1" thickTop="1" thickBot="1">
      <c r="A7" s="361" t="s">
        <v>30</v>
      </c>
      <c r="B7" s="362"/>
      <c r="N7" s="385" t="s">
        <v>118</v>
      </c>
      <c r="O7" s="386"/>
      <c r="P7" s="64"/>
      <c r="R7" s="145" t="s">
        <v>211</v>
      </c>
      <c r="S7" s="146" t="s">
        <v>212</v>
      </c>
    </row>
    <row r="8" spans="1:19" ht="15.75" thickTop="1">
      <c r="A8" s="359" t="s">
        <v>31</v>
      </c>
      <c r="B8" s="360"/>
      <c r="N8" s="142">
        <v>7802.8829999999998</v>
      </c>
      <c r="O8" s="143">
        <v>26088.137999999999</v>
      </c>
      <c r="P8" s="154"/>
      <c r="R8" s="147">
        <v>994930.67200000002</v>
      </c>
      <c r="S8" s="148">
        <v>999328586</v>
      </c>
    </row>
    <row r="9" spans="1:19">
      <c r="A9" s="47" t="s">
        <v>28</v>
      </c>
      <c r="B9" s="50">
        <v>1.48</v>
      </c>
      <c r="N9" s="267">
        <v>30312.468000000001</v>
      </c>
      <c r="O9" s="143">
        <v>2294.8969999999999</v>
      </c>
      <c r="P9" s="154"/>
      <c r="R9" s="147">
        <v>585699.19400000002</v>
      </c>
      <c r="S9" s="148">
        <v>585699194</v>
      </c>
    </row>
    <row r="10" spans="1:19">
      <c r="A10" s="51" t="s">
        <v>49</v>
      </c>
      <c r="B10" s="48">
        <f>E24</f>
        <v>547</v>
      </c>
      <c r="D10" s="69"/>
      <c r="N10" s="142">
        <v>22108.223999999998</v>
      </c>
      <c r="O10" s="143">
        <v>29300.774000000001</v>
      </c>
      <c r="P10" s="154"/>
      <c r="R10" s="147">
        <v>1975471.8</v>
      </c>
      <c r="S10" s="148">
        <v>1582678611</v>
      </c>
    </row>
    <row r="11" spans="1:19" ht="15.75" thickBot="1">
      <c r="A11" s="49" t="s">
        <v>33</v>
      </c>
      <c r="B11" s="95">
        <f>B10*B9*1.1</f>
        <v>890.51599999999996</v>
      </c>
      <c r="D11" s="69"/>
      <c r="E11" s="30"/>
      <c r="N11" s="142">
        <v>7026.9939999999997</v>
      </c>
      <c r="O11" s="143">
        <v>8769.8080000000009</v>
      </c>
      <c r="P11" s="154"/>
      <c r="R11" s="147"/>
      <c r="S11" s="148">
        <v>399104378</v>
      </c>
    </row>
    <row r="12" spans="1:19" ht="15.75" thickTop="1">
      <c r="D12" s="66"/>
      <c r="E12" s="65"/>
      <c r="N12" s="142">
        <v>3896.6959999999999</v>
      </c>
      <c r="O12" s="144">
        <v>3619.413</v>
      </c>
      <c r="P12" s="64"/>
      <c r="R12" s="147"/>
      <c r="S12" s="149"/>
    </row>
    <row r="13" spans="1:19" ht="15.75" thickBot="1">
      <c r="D13" s="67"/>
      <c r="E13" s="68"/>
      <c r="N13" s="142">
        <v>2294.8969999999999</v>
      </c>
      <c r="O13" s="144"/>
      <c r="P13" s="64"/>
      <c r="R13" s="147"/>
      <c r="S13" s="149"/>
    </row>
    <row r="14" spans="1:19" ht="16.5" thickTop="1" thickBot="1">
      <c r="B14" s="23"/>
      <c r="M14" s="150" t="s">
        <v>34</v>
      </c>
      <c r="N14" s="141">
        <f>SUM(N8:N13)/100</f>
        <v>734.42161999999996</v>
      </c>
      <c r="O14" s="141">
        <f>SUM(O8:O13)/100</f>
        <v>700.73029999999994</v>
      </c>
      <c r="P14" s="155"/>
      <c r="Q14" s="150" t="s">
        <v>34</v>
      </c>
      <c r="R14" s="151">
        <f>(SUM(R8:R13))/10000</f>
        <v>355.61016660000001</v>
      </c>
      <c r="S14" s="140">
        <f>(SUM(S8:S12))/10000</f>
        <v>356681.07689999999</v>
      </c>
    </row>
    <row r="15" spans="1:19" ht="16.5" thickTop="1" thickBot="1">
      <c r="H15" s="378" t="s">
        <v>50</v>
      </c>
      <c r="I15" s="379"/>
      <c r="K15" s="212" t="s">
        <v>219</v>
      </c>
    </row>
    <row r="16" spans="1:19" ht="15.75" thickBot="1">
      <c r="H16" s="29">
        <v>0.15</v>
      </c>
      <c r="I16" s="29">
        <v>0.3</v>
      </c>
      <c r="K16" s="213">
        <v>0.5</v>
      </c>
      <c r="R16" s="264" t="s">
        <v>476</v>
      </c>
      <c r="S16" s="265">
        <f>R14*0.08</f>
        <v>28.448813328</v>
      </c>
    </row>
    <row r="17" spans="1:15" ht="15.75" thickBot="1">
      <c r="K17" s="213">
        <v>0.4</v>
      </c>
    </row>
    <row r="18" spans="1:15" ht="16.5" thickTop="1" thickBot="1">
      <c r="A18" s="357" t="s">
        <v>207</v>
      </c>
      <c r="B18" s="358"/>
      <c r="D18" s="380" t="s">
        <v>127</v>
      </c>
      <c r="E18" s="381"/>
      <c r="F18" s="382"/>
      <c r="H18" s="27" t="s">
        <v>52</v>
      </c>
      <c r="I18" s="28">
        <f>PRODUCT(H16,I16,H21)</f>
        <v>6.165</v>
      </c>
      <c r="K18" s="213">
        <v>137</v>
      </c>
      <c r="N18" t="s">
        <v>349</v>
      </c>
    </row>
    <row r="19" spans="1:15" ht="15.75" thickTop="1">
      <c r="A19" s="57" t="s">
        <v>32</v>
      </c>
      <c r="B19" s="58">
        <f>28.5*44</f>
        <v>1254</v>
      </c>
      <c r="D19" s="57" t="s">
        <v>108</v>
      </c>
      <c r="E19" s="75"/>
      <c r="F19" s="58">
        <v>406</v>
      </c>
      <c r="J19" s="211" t="s">
        <v>34</v>
      </c>
      <c r="K19" s="214">
        <f>ROUND((PRODUCT(K16:K18)),2)</f>
        <v>27.4</v>
      </c>
      <c r="N19" t="s">
        <v>364</v>
      </c>
      <c r="O19">
        <v>14497.056</v>
      </c>
    </row>
    <row r="20" spans="1:15">
      <c r="A20" s="52" t="s">
        <v>47</v>
      </c>
      <c r="B20" s="53">
        <f>26.5*42</f>
        <v>1113</v>
      </c>
      <c r="D20" s="52" t="s">
        <v>109</v>
      </c>
      <c r="E20" s="72"/>
      <c r="F20" s="53">
        <f>F19</f>
        <v>406</v>
      </c>
      <c r="H20" s="26" t="s">
        <v>51</v>
      </c>
      <c r="O20">
        <v>8600</v>
      </c>
    </row>
    <row r="21" spans="1:15" ht="15.75" thickBot="1">
      <c r="A21" s="54" t="s">
        <v>48</v>
      </c>
      <c r="B21" s="53">
        <f>B19-B20</f>
        <v>141</v>
      </c>
      <c r="D21" s="73" t="s">
        <v>112</v>
      </c>
      <c r="E21" s="74"/>
      <c r="F21" s="76">
        <f>F20*0.1</f>
        <v>40.6</v>
      </c>
      <c r="H21" s="36">
        <f>26.5+26.5+42+42</f>
        <v>137</v>
      </c>
      <c r="O21" s="221">
        <f>((SUM(O19:O20)/100))</f>
        <v>230.97056000000001</v>
      </c>
    </row>
    <row r="22" spans="1:15" ht="16.5" thickTop="1" thickBot="1">
      <c r="A22" s="55" t="s">
        <v>111</v>
      </c>
      <c r="B22" s="56">
        <f>B21*0.1</f>
        <v>14.100000000000001</v>
      </c>
      <c r="G22" s="94"/>
      <c r="H22" s="215"/>
      <c r="I22" s="216"/>
    </row>
    <row r="23" spans="1:15" ht="16.5" thickTop="1" thickBot="1">
      <c r="D23" s="30"/>
      <c r="G23" s="94"/>
      <c r="H23" s="216"/>
      <c r="I23" s="216"/>
    </row>
    <row r="24" spans="1:15" ht="16.5" thickTop="1" thickBot="1">
      <c r="A24" s="357" t="s">
        <v>208</v>
      </c>
      <c r="B24" s="358"/>
      <c r="D24" s="126" t="s">
        <v>110</v>
      </c>
      <c r="E24" s="218">
        <f>F20+B21</f>
        <v>547</v>
      </c>
      <c r="H24" s="369" t="s">
        <v>107</v>
      </c>
      <c r="I24" s="369"/>
      <c r="J24" s="369"/>
      <c r="K24" s="369"/>
    </row>
    <row r="25" spans="1:15" ht="31.5" thickTop="1" thickBot="1">
      <c r="A25" s="77" t="s">
        <v>102</v>
      </c>
      <c r="B25" s="78">
        <f>B20*0.05</f>
        <v>55.650000000000006</v>
      </c>
      <c r="D25" s="127" t="s">
        <v>113</v>
      </c>
      <c r="E25" s="217">
        <f>F21+B22</f>
        <v>54.7</v>
      </c>
      <c r="H25" s="368" t="s">
        <v>53</v>
      </c>
      <c r="I25" s="368"/>
      <c r="J25" s="38" t="s">
        <v>56</v>
      </c>
      <c r="K25" s="24"/>
    </row>
    <row r="26" spans="1:15" ht="15.75" thickTop="1">
      <c r="A26" s="70" t="s">
        <v>103</v>
      </c>
      <c r="B26" s="79">
        <f>B20*0.03</f>
        <v>33.39</v>
      </c>
      <c r="H26" s="31" t="s">
        <v>54</v>
      </c>
      <c r="I26" s="32">
        <v>4</v>
      </c>
      <c r="J26" s="22" t="s">
        <v>57</v>
      </c>
      <c r="K26" s="33">
        <v>0.15</v>
      </c>
    </row>
    <row r="27" spans="1:15" ht="15.75" thickBot="1">
      <c r="A27" s="71" t="s">
        <v>104</v>
      </c>
      <c r="B27" s="80">
        <f>B20*0.03</f>
        <v>33.39</v>
      </c>
      <c r="H27" s="31" t="s">
        <v>51</v>
      </c>
      <c r="I27" s="33">
        <v>137</v>
      </c>
      <c r="J27" s="22" t="s">
        <v>58</v>
      </c>
      <c r="K27" s="32">
        <f>H21/K26</f>
        <v>913.33333333333337</v>
      </c>
    </row>
    <row r="28" spans="1:15" ht="15.75" thickTop="1">
      <c r="H28" s="31" t="s">
        <v>34</v>
      </c>
      <c r="I28" s="33">
        <f>I26*I27</f>
        <v>548</v>
      </c>
      <c r="J28" s="22" t="s">
        <v>59</v>
      </c>
      <c r="K28" s="33">
        <v>0.74</v>
      </c>
    </row>
    <row r="29" spans="1:15" ht="15.75" thickBot="1">
      <c r="H29" s="369" t="s">
        <v>55</v>
      </c>
      <c r="I29" s="371">
        <f>I28/12</f>
        <v>45.666666666666664</v>
      </c>
      <c r="J29" s="22" t="s">
        <v>60</v>
      </c>
      <c r="K29" s="33">
        <f>K27*K28</f>
        <v>675.86666666666667</v>
      </c>
    </row>
    <row r="30" spans="1:15" ht="15.75" thickTop="1">
      <c r="A30" s="128" t="s">
        <v>69</v>
      </c>
      <c r="B30" s="129" t="s">
        <v>0</v>
      </c>
      <c r="D30" s="366" t="s">
        <v>149</v>
      </c>
      <c r="E30" s="367"/>
      <c r="H30" s="369"/>
      <c r="I30" s="371"/>
      <c r="J30" s="22" t="s">
        <v>61</v>
      </c>
      <c r="K30" s="32">
        <f>K29/12</f>
        <v>56.322222222222223</v>
      </c>
    </row>
    <row r="31" spans="1:15">
      <c r="A31" s="132" t="s">
        <v>70</v>
      </c>
      <c r="B31" s="130">
        <v>85.28</v>
      </c>
      <c r="D31" s="132" t="s">
        <v>70</v>
      </c>
      <c r="E31" s="156">
        <v>33</v>
      </c>
    </row>
    <row r="32" spans="1:15">
      <c r="A32" s="132" t="s">
        <v>71</v>
      </c>
      <c r="B32" s="130">
        <v>78.900000000000006</v>
      </c>
      <c r="D32" s="132" t="s">
        <v>71</v>
      </c>
      <c r="E32" s="156">
        <v>17.450600000000001</v>
      </c>
      <c r="H32" s="368" t="s">
        <v>346</v>
      </c>
      <c r="I32" s="368"/>
      <c r="J32" s="370" t="s">
        <v>345</v>
      </c>
      <c r="K32" s="370"/>
    </row>
    <row r="33" spans="1:14">
      <c r="A33" s="132" t="s">
        <v>72</v>
      </c>
      <c r="B33" s="130">
        <v>71.900000000000006</v>
      </c>
      <c r="D33" s="132" t="s">
        <v>72</v>
      </c>
      <c r="E33" s="156"/>
      <c r="H33" s="24" t="s">
        <v>62</v>
      </c>
      <c r="I33" s="24">
        <v>7.4</v>
      </c>
      <c r="J33" s="22" t="s">
        <v>62</v>
      </c>
      <c r="K33" s="24">
        <v>1.85</v>
      </c>
    </row>
    <row r="34" spans="1:14" ht="15.75" thickBot="1">
      <c r="A34" s="133" t="s">
        <v>73</v>
      </c>
      <c r="B34" s="131">
        <f>(B31+B32+B33)/3</f>
        <v>78.693333333333342</v>
      </c>
      <c r="D34" s="133" t="s">
        <v>73</v>
      </c>
      <c r="E34" s="131">
        <f>(E31+E32+E33)/2</f>
        <v>25.225300000000001</v>
      </c>
      <c r="H34" s="24" t="s">
        <v>63</v>
      </c>
      <c r="I34" s="34">
        <f>I29*I33</f>
        <v>337.93333333333334</v>
      </c>
      <c r="J34" s="22" t="s">
        <v>63</v>
      </c>
      <c r="K34" s="34">
        <f>K30*K33</f>
        <v>104.19611111111112</v>
      </c>
    </row>
    <row r="35" spans="1:14" ht="15.75" thickTop="1"/>
    <row r="36" spans="1:14">
      <c r="A36" s="219"/>
      <c r="B36" s="219"/>
      <c r="D36" s="93" t="s">
        <v>150</v>
      </c>
      <c r="E36" s="157">
        <f>E34/B34</f>
        <v>0.32055193154862754</v>
      </c>
    </row>
    <row r="37" spans="1:14">
      <c r="A37" s="93"/>
      <c r="B37" s="93"/>
      <c r="H37" s="369" t="s">
        <v>68</v>
      </c>
      <c r="I37" s="369"/>
    </row>
    <row r="38" spans="1:14">
      <c r="A38" s="93" t="s">
        <v>47</v>
      </c>
      <c r="B38" s="225">
        <f>C3</f>
        <v>1113</v>
      </c>
      <c r="H38" s="24" t="s">
        <v>64</v>
      </c>
      <c r="I38" s="33">
        <f>0.15</f>
        <v>0.15</v>
      </c>
    </row>
    <row r="39" spans="1:14">
      <c r="B39" t="s">
        <v>380</v>
      </c>
      <c r="C39" t="s">
        <v>381</v>
      </c>
      <c r="D39" t="s">
        <v>382</v>
      </c>
      <c r="H39" s="24" t="s">
        <v>65</v>
      </c>
      <c r="I39" s="35">
        <f>H21</f>
        <v>137</v>
      </c>
    </row>
    <row r="40" spans="1:14">
      <c r="A40" s="93" t="s">
        <v>376</v>
      </c>
      <c r="B40" s="93">
        <v>0.03</v>
      </c>
      <c r="C40">
        <f>B38*B40</f>
        <v>33.39</v>
      </c>
      <c r="D40">
        <f>C40/B38</f>
        <v>0.03</v>
      </c>
      <c r="H40" s="24" t="s">
        <v>66</v>
      </c>
      <c r="I40" s="24">
        <v>2</v>
      </c>
    </row>
    <row r="41" spans="1:14">
      <c r="A41" s="93" t="s">
        <v>377</v>
      </c>
      <c r="B41" s="93">
        <v>0.03</v>
      </c>
      <c r="C41">
        <f>B38*B41</f>
        <v>33.39</v>
      </c>
      <c r="H41" s="24" t="s">
        <v>67</v>
      </c>
      <c r="I41" s="37">
        <f>(I38*I39)*I40</f>
        <v>41.1</v>
      </c>
    </row>
    <row r="42" spans="1:14">
      <c r="A42" t="s">
        <v>378</v>
      </c>
      <c r="B42">
        <v>0.03</v>
      </c>
      <c r="C42">
        <f>B38*B42</f>
        <v>33.39</v>
      </c>
    </row>
    <row r="43" spans="1:14">
      <c r="A43" t="s">
        <v>379</v>
      </c>
      <c r="B43">
        <v>0.05</v>
      </c>
      <c r="C43">
        <f>B38*B43</f>
        <v>55.650000000000006</v>
      </c>
    </row>
    <row r="44" spans="1:14">
      <c r="K44" s="207"/>
      <c r="L44" s="208"/>
      <c r="M44" s="208"/>
      <c r="N44" s="208"/>
    </row>
    <row r="45" spans="1:14">
      <c r="K45" s="209"/>
      <c r="L45" s="209"/>
      <c r="M45" s="210"/>
      <c r="N45" s="210"/>
    </row>
    <row r="46" spans="1:14" ht="15.75" thickBot="1">
      <c r="H46" s="97" t="s">
        <v>115</v>
      </c>
      <c r="I46" s="98">
        <v>661.45</v>
      </c>
      <c r="K46" s="25">
        <v>3133409.909</v>
      </c>
    </row>
    <row r="47" spans="1:14" ht="24" customHeight="1" thickTop="1" thickBot="1">
      <c r="A47" s="376" t="s">
        <v>106</v>
      </c>
      <c r="B47" s="377"/>
      <c r="H47" s="99" t="s">
        <v>116</v>
      </c>
      <c r="I47" s="97">
        <v>0.1</v>
      </c>
      <c r="K47" s="25">
        <f>K46/10000</f>
        <v>313.34099090000001</v>
      </c>
    </row>
    <row r="48" spans="1:14" ht="15.75" thickTop="1">
      <c r="A48" s="138"/>
      <c r="B48" s="139"/>
      <c r="H48" s="97" t="s">
        <v>117</v>
      </c>
      <c r="I48" s="100">
        <f>I46*I47</f>
        <v>66.14500000000001</v>
      </c>
      <c r="K48" s="226">
        <f>K47*0.2</f>
        <v>62.668198180000005</v>
      </c>
    </row>
    <row r="49" spans="1:11">
      <c r="A49" s="134"/>
      <c r="B49" s="135">
        <v>88</v>
      </c>
    </row>
    <row r="50" spans="1:11">
      <c r="A50" s="134"/>
      <c r="B50" s="135">
        <v>4</v>
      </c>
    </row>
    <row r="51" spans="1:11">
      <c r="A51" s="134"/>
      <c r="B51" s="135">
        <f>5*10</f>
        <v>50</v>
      </c>
    </row>
    <row r="52" spans="1:11" ht="15.75" thickBot="1">
      <c r="A52" s="136" t="s">
        <v>34</v>
      </c>
      <c r="B52" s="137">
        <f>SUM(B48:B51)</f>
        <v>142</v>
      </c>
    </row>
    <row r="53" spans="1:11" ht="15.75" thickTop="1"/>
    <row r="54" spans="1:11" ht="15.75" thickBot="1">
      <c r="I54" s="61"/>
    </row>
    <row r="55" spans="1:11" ht="16.5" thickTop="1" thickBot="1">
      <c r="A55" s="376" t="s">
        <v>119</v>
      </c>
      <c r="B55" s="383"/>
      <c r="C55" s="383"/>
      <c r="D55" s="377"/>
    </row>
    <row r="56" spans="1:11" ht="16.5" thickTop="1" thickBot="1">
      <c r="A56" s="85"/>
      <c r="B56" s="227" t="s">
        <v>128</v>
      </c>
      <c r="C56" s="228" t="s">
        <v>129</v>
      </c>
      <c r="D56" s="229" t="s">
        <v>130</v>
      </c>
      <c r="E56" s="67" t="s">
        <v>73</v>
      </c>
      <c r="H56" s="67" t="s">
        <v>163</v>
      </c>
      <c r="I56" s="63"/>
      <c r="K56" s="63"/>
    </row>
    <row r="57" spans="1:11" ht="15.75" thickTop="1">
      <c r="A57" s="86" t="s">
        <v>120</v>
      </c>
      <c r="B57" s="230">
        <v>37900</v>
      </c>
      <c r="C57" s="231">
        <v>18900</v>
      </c>
      <c r="D57" s="372">
        <v>24900</v>
      </c>
      <c r="E57" s="234">
        <f>(B57+C57+(D57/3))/3</f>
        <v>21700</v>
      </c>
      <c r="H57">
        <v>6</v>
      </c>
    </row>
    <row r="58" spans="1:11">
      <c r="A58" s="86" t="s">
        <v>121</v>
      </c>
      <c r="B58" s="230">
        <v>3895</v>
      </c>
      <c r="C58" s="231">
        <v>2690</v>
      </c>
      <c r="D58" s="372"/>
      <c r="E58" s="235">
        <f>(B58+C58+(D57/3))/3</f>
        <v>4961.666666666667</v>
      </c>
      <c r="H58">
        <v>4</v>
      </c>
      <c r="I58" s="61"/>
    </row>
    <row r="59" spans="1:11">
      <c r="A59" s="86" t="s">
        <v>122</v>
      </c>
      <c r="B59" s="230">
        <v>3230</v>
      </c>
      <c r="C59" s="231">
        <v>3600</v>
      </c>
      <c r="D59" s="372"/>
      <c r="E59" s="235">
        <f>(B59+C59+(D57/3))/3</f>
        <v>5043.333333333333</v>
      </c>
      <c r="H59">
        <v>4</v>
      </c>
    </row>
    <row r="60" spans="1:11">
      <c r="A60" s="86" t="s">
        <v>124</v>
      </c>
      <c r="B60" s="230">
        <v>12600</v>
      </c>
      <c r="C60" s="231">
        <v>11500</v>
      </c>
      <c r="D60" s="373">
        <v>13900</v>
      </c>
      <c r="E60" s="235">
        <f>(B60+C60+(D60/2))/3</f>
        <v>10350</v>
      </c>
      <c r="H60">
        <v>4</v>
      </c>
    </row>
    <row r="61" spans="1:11">
      <c r="A61" s="86" t="s">
        <v>123</v>
      </c>
      <c r="B61" s="230">
        <v>10180</v>
      </c>
      <c r="C61" s="232"/>
      <c r="D61" s="374"/>
      <c r="E61" s="235">
        <f>(B61+(D60/2))/2</f>
        <v>8565</v>
      </c>
      <c r="H61">
        <v>4</v>
      </c>
    </row>
    <row r="62" spans="1:11" ht="15.75" thickBot="1">
      <c r="A62" s="87" t="s">
        <v>125</v>
      </c>
      <c r="B62" s="233"/>
      <c r="C62" s="231">
        <v>11980</v>
      </c>
      <c r="D62" s="375"/>
      <c r="E62" s="236">
        <f>(C62+(D60/2))/2</f>
        <v>9465</v>
      </c>
      <c r="H62">
        <v>4</v>
      </c>
    </row>
    <row r="63" spans="1:11" ht="16.5" thickTop="1" thickBot="1">
      <c r="A63" s="81" t="s">
        <v>126</v>
      </c>
      <c r="B63" s="82">
        <f>SUM(B57:B62)</f>
        <v>67805</v>
      </c>
      <c r="C63" s="83">
        <f t="shared" ref="C63:D63" si="0">SUM(C57:C62)</f>
        <v>48670</v>
      </c>
      <c r="D63" s="84">
        <f t="shared" si="0"/>
        <v>38800</v>
      </c>
      <c r="G63" t="s">
        <v>34</v>
      </c>
    </row>
    <row r="64" spans="1:11" ht="15.75" thickTop="1"/>
    <row r="66" spans="1:11">
      <c r="A66" s="365" t="s">
        <v>159</v>
      </c>
      <c r="B66" s="365"/>
      <c r="C66" s="365"/>
      <c r="D66" s="365"/>
      <c r="E66" s="365"/>
      <c r="F66" s="365"/>
    </row>
    <row r="67" spans="1:11">
      <c r="A67" s="101" t="s">
        <v>153</v>
      </c>
      <c r="B67" s="266">
        <v>0.3</v>
      </c>
      <c r="C67" s="266">
        <v>0.3</v>
      </c>
      <c r="D67" s="266">
        <v>0.3</v>
      </c>
      <c r="E67" s="101" t="s">
        <v>160</v>
      </c>
      <c r="F67" s="100">
        <f>B67*C67*D67</f>
        <v>2.7E-2</v>
      </c>
    </row>
    <row r="68" spans="1:11">
      <c r="A68" s="101" t="s">
        <v>164</v>
      </c>
      <c r="B68" s="101">
        <f>SUM(H57:H59,H60:H61)</f>
        <v>22</v>
      </c>
      <c r="C68" s="102"/>
      <c r="D68" s="113"/>
      <c r="E68" s="101" t="s">
        <v>165</v>
      </c>
      <c r="F68" s="100">
        <f>B68*F67</f>
        <v>0.59399999999999997</v>
      </c>
    </row>
    <row r="70" spans="1:11">
      <c r="A70" s="102" t="s">
        <v>166</v>
      </c>
      <c r="B70" s="103">
        <f>F68</f>
        <v>0.59399999999999997</v>
      </c>
    </row>
    <row r="71" spans="1:11">
      <c r="A71" s="102" t="s">
        <v>167</v>
      </c>
      <c r="B71" s="103">
        <f>F68</f>
        <v>0.59399999999999997</v>
      </c>
    </row>
    <row r="76" spans="1:11" ht="15.75" thickBot="1">
      <c r="B76" s="384" t="s">
        <v>292</v>
      </c>
      <c r="C76" s="384"/>
      <c r="D76" s="384"/>
      <c r="E76" s="384"/>
      <c r="F76" s="384"/>
      <c r="G76" s="384"/>
      <c r="J76" s="330" t="s">
        <v>435</v>
      </c>
      <c r="K76" s="330"/>
    </row>
    <row r="77" spans="1:11" ht="15.75" thickTop="1">
      <c r="B77" s="344" t="s">
        <v>294</v>
      </c>
      <c r="C77" s="389" t="s">
        <v>231</v>
      </c>
      <c r="D77" s="171" t="s">
        <v>283</v>
      </c>
      <c r="E77" s="171" t="s">
        <v>284</v>
      </c>
      <c r="F77" s="173" t="s">
        <v>285</v>
      </c>
      <c r="G77" s="176" t="s">
        <v>300</v>
      </c>
      <c r="J77" s="270" t="s">
        <v>478</v>
      </c>
      <c r="K77" s="270" t="s">
        <v>477</v>
      </c>
    </row>
    <row r="78" spans="1:11">
      <c r="B78" s="344"/>
      <c r="C78" s="390"/>
      <c r="D78" s="172">
        <v>0.3</v>
      </c>
      <c r="E78" s="172">
        <v>0.25</v>
      </c>
      <c r="F78" s="174">
        <v>1</v>
      </c>
      <c r="G78" s="177">
        <f>D78*E78*F78</f>
        <v>7.4999999999999997E-2</v>
      </c>
      <c r="I78" s="272" t="s">
        <v>508</v>
      </c>
      <c r="J78" s="270">
        <f>29*2</f>
        <v>58</v>
      </c>
      <c r="K78" s="270">
        <f>14*2</f>
        <v>28</v>
      </c>
    </row>
    <row r="79" spans="1:11">
      <c r="B79" s="345" t="s">
        <v>293</v>
      </c>
      <c r="C79" s="391" t="s">
        <v>231</v>
      </c>
      <c r="D79" s="170" t="s">
        <v>287</v>
      </c>
      <c r="E79" s="349" t="s">
        <v>288</v>
      </c>
      <c r="F79" s="350"/>
      <c r="G79" s="178" t="s">
        <v>286</v>
      </c>
      <c r="I79" s="272" t="s">
        <v>509</v>
      </c>
      <c r="J79" s="270">
        <v>2</v>
      </c>
      <c r="K79" s="270">
        <v>4</v>
      </c>
    </row>
    <row r="80" spans="1:11">
      <c r="B80" s="345"/>
      <c r="C80" s="392"/>
      <c r="D80" s="169">
        <f>0.3*0.25</f>
        <v>7.4999999999999997E-2</v>
      </c>
      <c r="E80" s="351">
        <f>D78*F78</f>
        <v>0.3</v>
      </c>
      <c r="F80" s="352"/>
      <c r="G80" s="179">
        <f>(D80*2)+(E80*2)</f>
        <v>0.75</v>
      </c>
      <c r="I80" s="272" t="s">
        <v>510</v>
      </c>
      <c r="J80" s="270">
        <f>J78*J79</f>
        <v>116</v>
      </c>
      <c r="K80" s="270">
        <f>K78*K79</f>
        <v>112</v>
      </c>
    </row>
    <row r="81" spans="2:14">
      <c r="B81" s="344" t="str">
        <f>UPPER("alvenaria tijolo maciço de 25")</f>
        <v>ALVENARIA TIJOLO MACIÇO DE 25</v>
      </c>
      <c r="C81" s="389" t="s">
        <v>231</v>
      </c>
      <c r="D81" s="171" t="s">
        <v>289</v>
      </c>
      <c r="E81" s="353" t="s">
        <v>290</v>
      </c>
      <c r="F81" s="354"/>
      <c r="G81" s="180" t="s">
        <v>286</v>
      </c>
      <c r="I81" s="272" t="s">
        <v>511</v>
      </c>
      <c r="J81" s="332">
        <v>4</v>
      </c>
      <c r="K81" s="332"/>
    </row>
    <row r="82" spans="2:14">
      <c r="B82" s="344"/>
      <c r="C82" s="390"/>
      <c r="D82" s="172">
        <v>1</v>
      </c>
      <c r="E82" s="347">
        <v>2</v>
      </c>
      <c r="F82" s="348"/>
      <c r="G82" s="177">
        <f>D82*E82</f>
        <v>2</v>
      </c>
      <c r="I82" s="272" t="s">
        <v>512</v>
      </c>
      <c r="J82" s="332">
        <f>(J80+K80)-J81</f>
        <v>224</v>
      </c>
      <c r="K82" s="332"/>
      <c r="N82">
        <f>44*2</f>
        <v>88</v>
      </c>
    </row>
    <row r="83" spans="2:14">
      <c r="B83" s="345" t="s">
        <v>295</v>
      </c>
      <c r="C83" s="391" t="s">
        <v>231</v>
      </c>
      <c r="D83" s="170" t="s">
        <v>291</v>
      </c>
      <c r="E83" s="349" t="s">
        <v>288</v>
      </c>
      <c r="F83" s="350"/>
      <c r="G83" s="178" t="s">
        <v>286</v>
      </c>
      <c r="N83">
        <f>28.5*2</f>
        <v>57</v>
      </c>
    </row>
    <row r="84" spans="2:14">
      <c r="B84" s="345"/>
      <c r="C84" s="392"/>
      <c r="D84" s="169">
        <f>1*2</f>
        <v>2</v>
      </c>
      <c r="E84" s="169">
        <f>0.25*2</f>
        <v>0.5</v>
      </c>
      <c r="F84" s="175"/>
      <c r="G84" s="179">
        <f>(D84*2)+(E84*2)</f>
        <v>5</v>
      </c>
      <c r="J84" s="333" t="s">
        <v>439</v>
      </c>
      <c r="K84" s="334"/>
      <c r="L84" s="335"/>
      <c r="N84">
        <f>N82+N83</f>
        <v>145</v>
      </c>
    </row>
    <row r="85" spans="2:14">
      <c r="B85" s="346" t="s">
        <v>296</v>
      </c>
      <c r="C85" s="389"/>
      <c r="D85" s="172"/>
      <c r="E85" s="347"/>
      <c r="F85" s="348"/>
      <c r="G85" s="177"/>
      <c r="H85" s="168"/>
      <c r="I85" s="270" t="s">
        <v>509</v>
      </c>
      <c r="J85" s="271">
        <v>7</v>
      </c>
      <c r="K85" s="270" t="s">
        <v>513</v>
      </c>
      <c r="L85" s="271">
        <v>1113</v>
      </c>
    </row>
    <row r="86" spans="2:14">
      <c r="B86" s="346"/>
      <c r="C86" s="390"/>
      <c r="D86" s="172"/>
      <c r="E86" s="347"/>
      <c r="F86" s="348"/>
      <c r="G86" s="177"/>
      <c r="I86" s="270" t="s">
        <v>514</v>
      </c>
      <c r="J86" s="331">
        <v>145</v>
      </c>
      <c r="K86" s="331"/>
      <c r="L86" s="331"/>
    </row>
    <row r="87" spans="2:14">
      <c r="B87" s="345" t="s">
        <v>297</v>
      </c>
      <c r="C87" s="391" t="s">
        <v>231</v>
      </c>
      <c r="D87" s="170" t="s">
        <v>291</v>
      </c>
      <c r="E87" s="349" t="s">
        <v>288</v>
      </c>
      <c r="F87" s="350"/>
      <c r="G87" s="178" t="s">
        <v>286</v>
      </c>
      <c r="I87" s="270" t="s">
        <v>515</v>
      </c>
      <c r="J87" s="331">
        <f>(J85*J86)+L85</f>
        <v>2128</v>
      </c>
      <c r="K87" s="331"/>
      <c r="L87" s="331"/>
    </row>
    <row r="88" spans="2:14">
      <c r="B88" s="345"/>
      <c r="C88" s="392"/>
      <c r="D88" s="169">
        <f>1*2</f>
        <v>2</v>
      </c>
      <c r="E88" s="351">
        <f>0.25*2</f>
        <v>0.5</v>
      </c>
      <c r="F88" s="352"/>
      <c r="G88" s="179">
        <f>(D88*2)+(E88*2)</f>
        <v>5</v>
      </c>
    </row>
    <row r="89" spans="2:14">
      <c r="B89" s="346" t="s">
        <v>298</v>
      </c>
      <c r="C89" s="389" t="s">
        <v>231</v>
      </c>
      <c r="D89" s="171" t="s">
        <v>291</v>
      </c>
      <c r="E89" s="353" t="s">
        <v>288</v>
      </c>
      <c r="F89" s="354"/>
      <c r="G89" s="180" t="s">
        <v>286</v>
      </c>
    </row>
    <row r="90" spans="2:14" ht="15.75" thickBot="1">
      <c r="B90" s="346"/>
      <c r="C90" s="390"/>
      <c r="D90" s="172">
        <f>1*2</f>
        <v>2</v>
      </c>
      <c r="E90" s="347">
        <f>0.25*2</f>
        <v>0.5</v>
      </c>
      <c r="F90" s="348"/>
      <c r="G90" s="181">
        <f>(D90*2)+(E90*2)</f>
        <v>5</v>
      </c>
      <c r="J90" s="330" t="s">
        <v>507</v>
      </c>
      <c r="K90" s="330"/>
    </row>
    <row r="91" spans="2:14" ht="15.75" thickTop="1">
      <c r="B91" s="158"/>
      <c r="J91" s="271"/>
      <c r="K91" s="271">
        <v>9292603.7789999992</v>
      </c>
    </row>
    <row r="92" spans="2:14">
      <c r="J92" s="271"/>
      <c r="K92" s="273">
        <v>11601983.177999999</v>
      </c>
    </row>
    <row r="93" spans="2:14">
      <c r="J93" s="271"/>
      <c r="K93" s="271">
        <v>1139621.5870000001</v>
      </c>
    </row>
    <row r="94" spans="2:14">
      <c r="J94" s="271"/>
      <c r="K94" s="271">
        <v>771968.09</v>
      </c>
    </row>
    <row r="95" spans="2:14">
      <c r="J95" s="271"/>
      <c r="K95" s="271"/>
      <c r="L95" s="269"/>
    </row>
    <row r="96" spans="2:14">
      <c r="J96" s="274" t="s">
        <v>516</v>
      </c>
      <c r="K96" s="275">
        <f>(SUM(K91:K94))/10000</f>
        <v>2280.6176633999999</v>
      </c>
    </row>
    <row r="97" spans="1:11">
      <c r="J97" t="s">
        <v>517</v>
      </c>
      <c r="K97" s="25">
        <v>1693.1</v>
      </c>
    </row>
    <row r="98" spans="1:11" ht="21" customHeight="1">
      <c r="A98" s="393" t="s">
        <v>303</v>
      </c>
      <c r="B98" s="393"/>
      <c r="C98" s="393"/>
      <c r="D98" s="393"/>
      <c r="E98" s="393"/>
      <c r="F98" s="393"/>
      <c r="G98" s="393"/>
      <c r="H98" s="393"/>
      <c r="I98" s="393"/>
    </row>
    <row r="99" spans="1:11">
      <c r="I99" s="192"/>
    </row>
    <row r="100" spans="1:11">
      <c r="A100" s="337" t="s">
        <v>334</v>
      </c>
      <c r="B100" s="337"/>
      <c r="D100" s="337" t="s">
        <v>332</v>
      </c>
      <c r="E100" s="337"/>
      <c r="G100" s="337" t="s">
        <v>343</v>
      </c>
      <c r="H100" s="337"/>
      <c r="I100" s="192"/>
      <c r="K100" s="185"/>
    </row>
    <row r="101" spans="1:11">
      <c r="A101" s="340" t="s">
        <v>153</v>
      </c>
      <c r="B101" s="194">
        <v>0.6</v>
      </c>
      <c r="D101" s="340" t="s">
        <v>153</v>
      </c>
      <c r="E101" s="194">
        <v>1.2</v>
      </c>
      <c r="G101" s="194" t="s">
        <v>283</v>
      </c>
      <c r="H101" s="193">
        <v>6</v>
      </c>
      <c r="I101" s="185"/>
      <c r="K101" s="185"/>
    </row>
    <row r="102" spans="1:11">
      <c r="A102" s="340"/>
      <c r="B102" s="194">
        <v>0.6</v>
      </c>
      <c r="D102" s="340"/>
      <c r="E102" s="194">
        <v>1.2</v>
      </c>
      <c r="G102" s="194" t="s">
        <v>344</v>
      </c>
      <c r="H102" s="193">
        <v>20</v>
      </c>
      <c r="I102" s="185"/>
      <c r="K102" s="185"/>
    </row>
    <row r="103" spans="1:11">
      <c r="A103" s="340"/>
      <c r="B103" s="194">
        <v>0.7</v>
      </c>
      <c r="D103" s="340"/>
      <c r="E103" s="194">
        <v>1</v>
      </c>
      <c r="G103" s="194" t="s">
        <v>34</v>
      </c>
      <c r="H103" s="206">
        <f>ROUND((H101*H102),2)</f>
        <v>120</v>
      </c>
    </row>
    <row r="105" spans="1:11">
      <c r="A105" s="194" t="s">
        <v>305</v>
      </c>
      <c r="B105" s="194">
        <v>20</v>
      </c>
      <c r="D105" s="194" t="s">
        <v>306</v>
      </c>
      <c r="E105" s="199">
        <v>20</v>
      </c>
    </row>
    <row r="108" spans="1:11">
      <c r="A108" s="194" t="s">
        <v>304</v>
      </c>
      <c r="B108" s="195">
        <f>B101*B102*B103</f>
        <v>0.252</v>
      </c>
      <c r="D108" s="194" t="s">
        <v>307</v>
      </c>
      <c r="E108" s="199">
        <f>ROUND((E101*E102*E103*E105),2)</f>
        <v>28.8</v>
      </c>
    </row>
    <row r="109" spans="1:11">
      <c r="A109" s="194" t="s">
        <v>307</v>
      </c>
      <c r="B109" s="199">
        <f>ROUND((B105*B108),2)</f>
        <v>5.04</v>
      </c>
    </row>
    <row r="111" spans="1:11">
      <c r="A111" s="194" t="s">
        <v>308</v>
      </c>
      <c r="B111" s="198">
        <f>ROUND((B101*B102*0.05*20),2)</f>
        <v>0.36</v>
      </c>
    </row>
    <row r="115" spans="1:5">
      <c r="A115" s="337" t="s">
        <v>333</v>
      </c>
      <c r="B115" s="337"/>
    </row>
    <row r="116" spans="1:5">
      <c r="A116" s="394" t="s">
        <v>153</v>
      </c>
      <c r="B116" s="194">
        <v>0.6</v>
      </c>
    </row>
    <row r="117" spans="1:5">
      <c r="A117" s="394"/>
      <c r="B117" s="194">
        <v>0.7</v>
      </c>
      <c r="E117" s="200"/>
    </row>
    <row r="118" spans="1:5">
      <c r="A118" s="169" t="s">
        <v>66</v>
      </c>
      <c r="B118" s="194">
        <v>4</v>
      </c>
    </row>
    <row r="120" spans="1:5">
      <c r="A120" s="194" t="s">
        <v>309</v>
      </c>
      <c r="B120" s="199">
        <f>(B117*B116)*B118*B105</f>
        <v>33.6</v>
      </c>
    </row>
    <row r="121" spans="1:5">
      <c r="E121" t="s">
        <v>469</v>
      </c>
    </row>
    <row r="123" spans="1:5">
      <c r="A123" s="337" t="s">
        <v>315</v>
      </c>
      <c r="B123" s="337"/>
    </row>
    <row r="124" spans="1:5">
      <c r="A124" s="194" t="s">
        <v>316</v>
      </c>
      <c r="B124" s="194">
        <v>144.97</v>
      </c>
    </row>
    <row r="125" spans="1:5">
      <c r="A125" s="194" t="s">
        <v>317</v>
      </c>
      <c r="B125" s="194">
        <v>0.15</v>
      </c>
    </row>
    <row r="126" spans="1:5">
      <c r="A126" s="194" t="s">
        <v>290</v>
      </c>
      <c r="B126" s="194">
        <v>0.4</v>
      </c>
    </row>
    <row r="127" spans="1:5">
      <c r="A127" s="196"/>
      <c r="B127" s="197"/>
    </row>
    <row r="128" spans="1:5">
      <c r="A128" s="194" t="s">
        <v>318</v>
      </c>
      <c r="B128" s="199">
        <f>ROUND((B126*B124*B125),2)</f>
        <v>8.6999999999999993</v>
      </c>
      <c r="D128" s="397" t="s">
        <v>347</v>
      </c>
      <c r="E128" s="398"/>
    </row>
    <row r="129" spans="1:5">
      <c r="D129" s="395">
        <f>ROUND((B109+B128),2)</f>
        <v>13.74</v>
      </c>
      <c r="E129" s="396"/>
    </row>
    <row r="130" spans="1:5">
      <c r="A130" s="337" t="s">
        <v>335</v>
      </c>
      <c r="B130" s="337"/>
    </row>
    <row r="131" spans="1:5">
      <c r="A131" s="394" t="s">
        <v>153</v>
      </c>
      <c r="B131" s="194">
        <v>144.97</v>
      </c>
    </row>
    <row r="132" spans="1:5">
      <c r="A132" s="394"/>
      <c r="B132" s="194">
        <v>0.4</v>
      </c>
    </row>
    <row r="133" spans="1:5">
      <c r="A133" s="194" t="s">
        <v>66</v>
      </c>
      <c r="B133" s="194">
        <v>2</v>
      </c>
    </row>
    <row r="134" spans="1:5">
      <c r="A134" s="194" t="s">
        <v>319</v>
      </c>
      <c r="B134" s="199">
        <f>ROUND((B131*B132*B133),2)</f>
        <v>115.98</v>
      </c>
    </row>
    <row r="136" spans="1:5">
      <c r="A136" s="337" t="s">
        <v>336</v>
      </c>
      <c r="B136" s="337"/>
    </row>
    <row r="137" spans="1:5">
      <c r="A137" s="340" t="s">
        <v>153</v>
      </c>
      <c r="B137" s="194">
        <v>144.97</v>
      </c>
    </row>
    <row r="138" spans="1:5">
      <c r="A138" s="340"/>
      <c r="B138" s="194">
        <v>0.5</v>
      </c>
    </row>
    <row r="139" spans="1:5">
      <c r="A139" s="340"/>
      <c r="B139" s="194">
        <v>0.5</v>
      </c>
    </row>
    <row r="140" spans="1:5">
      <c r="A140" s="194" t="s">
        <v>320</v>
      </c>
      <c r="B140" s="198">
        <f>ROUND((B137*B138*B139),2)</f>
        <v>36.24</v>
      </c>
    </row>
    <row r="143" spans="1:5">
      <c r="A143" s="341" t="s">
        <v>331</v>
      </c>
      <c r="B143" s="342"/>
      <c r="C143" s="342"/>
      <c r="D143" s="342"/>
      <c r="E143" s="343"/>
    </row>
    <row r="144" spans="1:5" ht="30">
      <c r="A144" s="193" t="s">
        <v>56</v>
      </c>
      <c r="B144" s="202" t="s">
        <v>323</v>
      </c>
      <c r="C144" s="202" t="s">
        <v>324</v>
      </c>
      <c r="D144" s="202" t="s">
        <v>325</v>
      </c>
      <c r="E144" s="202" t="s">
        <v>326</v>
      </c>
    </row>
    <row r="145" spans="1:5">
      <c r="A145" s="193" t="s">
        <v>321</v>
      </c>
      <c r="B145" s="193">
        <v>1.92</v>
      </c>
      <c r="C145" s="193">
        <v>2</v>
      </c>
      <c r="D145" s="340">
        <v>20</v>
      </c>
      <c r="E145" s="193">
        <f>B145*C145*D145</f>
        <v>76.8</v>
      </c>
    </row>
    <row r="146" spans="1:5">
      <c r="A146" s="193" t="s">
        <v>322</v>
      </c>
      <c r="B146" s="193">
        <v>2.16</v>
      </c>
      <c r="C146" s="193">
        <v>5</v>
      </c>
      <c r="D146" s="340"/>
      <c r="E146" s="193">
        <f>B146*C146*D145</f>
        <v>216</v>
      </c>
    </row>
    <row r="148" spans="1:5">
      <c r="D148" s="193" t="s">
        <v>34</v>
      </c>
      <c r="E148" s="194">
        <f>SUM(E145:E146)</f>
        <v>292.8</v>
      </c>
    </row>
    <row r="150" spans="1:5">
      <c r="A150" s="194" t="s">
        <v>327</v>
      </c>
      <c r="B150" s="194">
        <v>0.39500000000000002</v>
      </c>
    </row>
    <row r="151" spans="1:5">
      <c r="A151" s="194" t="s">
        <v>328</v>
      </c>
      <c r="B151" s="198">
        <f>ROUND((E148*B150),2)</f>
        <v>115.66</v>
      </c>
    </row>
    <row r="154" spans="1:5">
      <c r="D154" t="s">
        <v>470</v>
      </c>
    </row>
    <row r="161" spans="1:9">
      <c r="A161" s="337" t="s">
        <v>340</v>
      </c>
      <c r="B161" s="337"/>
      <c r="C161" s="337"/>
      <c r="D161" s="337"/>
      <c r="E161" s="337"/>
    </row>
    <row r="162" spans="1:9">
      <c r="A162" s="338" t="s">
        <v>329</v>
      </c>
      <c r="B162" s="339"/>
      <c r="C162" s="194" t="s">
        <v>330</v>
      </c>
      <c r="D162" s="394" t="s">
        <v>316</v>
      </c>
      <c r="E162" s="394"/>
      <c r="H162" s="336" t="s">
        <v>314</v>
      </c>
      <c r="I162" s="336"/>
    </row>
    <row r="163" spans="1:9">
      <c r="A163" s="338">
        <v>144.97</v>
      </c>
      <c r="B163" s="339"/>
      <c r="C163" s="193">
        <v>4</v>
      </c>
      <c r="D163" s="394">
        <f>A163*C163</f>
        <v>579.88</v>
      </c>
      <c r="E163" s="394"/>
      <c r="H163" s="191" t="s">
        <v>310</v>
      </c>
      <c r="I163" t="s">
        <v>311</v>
      </c>
    </row>
    <row r="164" spans="1:9">
      <c r="H164" s="191" t="s">
        <v>312</v>
      </c>
      <c r="I164" t="s">
        <v>313</v>
      </c>
    </row>
    <row r="165" spans="1:9">
      <c r="A165" s="194" t="s">
        <v>337</v>
      </c>
      <c r="B165" s="194">
        <v>0.96299999999999997</v>
      </c>
    </row>
    <row r="166" spans="1:9">
      <c r="A166" s="194" t="s">
        <v>328</v>
      </c>
      <c r="B166" s="198">
        <f>ROUND((D163*B165),2)</f>
        <v>558.41999999999996</v>
      </c>
    </row>
    <row r="168" spans="1:9">
      <c r="A168" s="337" t="s">
        <v>341</v>
      </c>
      <c r="B168" s="337"/>
      <c r="C168" s="337"/>
      <c r="D168" s="337"/>
      <c r="E168" s="337"/>
    </row>
    <row r="169" spans="1:9" ht="30">
      <c r="A169" s="189" t="s">
        <v>338</v>
      </c>
      <c r="B169" s="204" t="s">
        <v>58</v>
      </c>
      <c r="C169" s="205" t="s">
        <v>339</v>
      </c>
      <c r="D169" s="338" t="s">
        <v>316</v>
      </c>
      <c r="E169" s="339"/>
    </row>
    <row r="170" spans="1:9">
      <c r="A170" s="203">
        <v>0.15</v>
      </c>
      <c r="B170" s="204">
        <f>ROUND((A163/A170),0)</f>
        <v>966</v>
      </c>
      <c r="C170" s="193">
        <v>1</v>
      </c>
      <c r="D170" s="394">
        <f>B170*C170</f>
        <v>966</v>
      </c>
      <c r="E170" s="394"/>
    </row>
    <row r="172" spans="1:9">
      <c r="A172" s="194" t="s">
        <v>342</v>
      </c>
      <c r="B172" s="194">
        <v>0.154</v>
      </c>
    </row>
    <row r="173" spans="1:9">
      <c r="A173" s="194" t="s">
        <v>328</v>
      </c>
      <c r="B173" s="198">
        <f>ROUND((D170*B172),2)</f>
        <v>148.76</v>
      </c>
    </row>
    <row r="180" spans="1:9" ht="30">
      <c r="E180" s="384" t="s">
        <v>368</v>
      </c>
      <c r="F180" s="384"/>
      <c r="H180" s="223" t="s">
        <v>371</v>
      </c>
      <c r="I180" s="8">
        <f>2*14.88668</f>
        <v>29.77336</v>
      </c>
    </row>
    <row r="181" spans="1:9" ht="30">
      <c r="A181" t="s">
        <v>367</v>
      </c>
      <c r="B181" s="5">
        <v>131990</v>
      </c>
      <c r="E181" s="200" t="s">
        <v>369</v>
      </c>
      <c r="F181">
        <v>14.812799999999999</v>
      </c>
      <c r="H181" s="220" t="s">
        <v>372</v>
      </c>
      <c r="I181" s="25">
        <v>45.2</v>
      </c>
    </row>
    <row r="182" spans="1:9">
      <c r="B182" s="5">
        <v>145200</v>
      </c>
      <c r="E182" s="200" t="s">
        <v>370</v>
      </c>
      <c r="F182" s="222">
        <v>0.1</v>
      </c>
      <c r="H182" s="220" t="s">
        <v>286</v>
      </c>
      <c r="I182" s="25">
        <f>ROUND((I180*I181),2)</f>
        <v>1345.76</v>
      </c>
    </row>
    <row r="183" spans="1:9">
      <c r="B183" s="5">
        <v>139700</v>
      </c>
      <c r="E183" t="s">
        <v>290</v>
      </c>
      <c r="F183">
        <f>F181*F182</f>
        <v>1.4812799999999999</v>
      </c>
    </row>
    <row r="184" spans="1:9">
      <c r="B184" s="5">
        <f>(SUM(B181:B183))/3</f>
        <v>138963.33333333334</v>
      </c>
    </row>
    <row r="188" spans="1:9">
      <c r="A188" t="s">
        <v>373</v>
      </c>
      <c r="B188">
        <f>B184/I182</f>
        <v>103.26011572147586</v>
      </c>
      <c r="D188">
        <f>B188*1.2278</f>
        <v>126.78277008282805</v>
      </c>
    </row>
    <row r="190" spans="1:9">
      <c r="B190">
        <f>88.99</f>
        <v>88.99</v>
      </c>
      <c r="D190">
        <f>B190*1.2278</f>
        <v>109.261922</v>
      </c>
    </row>
  </sheetData>
  <mergeCells count="83">
    <mergeCell ref="E180:F180"/>
    <mergeCell ref="A116:A117"/>
    <mergeCell ref="A123:B123"/>
    <mergeCell ref="A131:A132"/>
    <mergeCell ref="A130:B130"/>
    <mergeCell ref="A136:B136"/>
    <mergeCell ref="D170:E170"/>
    <mergeCell ref="A161:E161"/>
    <mergeCell ref="D162:E162"/>
    <mergeCell ref="D163:E163"/>
    <mergeCell ref="A162:B162"/>
    <mergeCell ref="A163:B163"/>
    <mergeCell ref="D129:E129"/>
    <mergeCell ref="D128:E128"/>
    <mergeCell ref="A98:I98"/>
    <mergeCell ref="A101:A103"/>
    <mergeCell ref="A100:B100"/>
    <mergeCell ref="D100:E100"/>
    <mergeCell ref="D101:D103"/>
    <mergeCell ref="G100:H100"/>
    <mergeCell ref="A115:B115"/>
    <mergeCell ref="A55:D55"/>
    <mergeCell ref="B76:G76"/>
    <mergeCell ref="N7:O7"/>
    <mergeCell ref="N6:O6"/>
    <mergeCell ref="B87:B88"/>
    <mergeCell ref="B89:B90"/>
    <mergeCell ref="C77:C78"/>
    <mergeCell ref="C79:C80"/>
    <mergeCell ref="C81:C82"/>
    <mergeCell ref="C83:C84"/>
    <mergeCell ref="C85:C86"/>
    <mergeCell ref="C87:C88"/>
    <mergeCell ref="C89:C90"/>
    <mergeCell ref="B77:B78"/>
    <mergeCell ref="B79:B80"/>
    <mergeCell ref="R6:S6"/>
    <mergeCell ref="A66:F66"/>
    <mergeCell ref="D30:E30"/>
    <mergeCell ref="H25:I25"/>
    <mergeCell ref="H24:K24"/>
    <mergeCell ref="H32:I32"/>
    <mergeCell ref="J32:K32"/>
    <mergeCell ref="H29:H30"/>
    <mergeCell ref="I29:I30"/>
    <mergeCell ref="D57:D59"/>
    <mergeCell ref="D60:D62"/>
    <mergeCell ref="A47:B47"/>
    <mergeCell ref="H37:I37"/>
    <mergeCell ref="H15:I15"/>
    <mergeCell ref="D18:F18"/>
    <mergeCell ref="A1:B1"/>
    <mergeCell ref="A24:B24"/>
    <mergeCell ref="A18:B18"/>
    <mergeCell ref="A8:B8"/>
    <mergeCell ref="A7:B7"/>
    <mergeCell ref="B81:B82"/>
    <mergeCell ref="B83:B84"/>
    <mergeCell ref="B85:B86"/>
    <mergeCell ref="E90:F90"/>
    <mergeCell ref="E79:F79"/>
    <mergeCell ref="E80:F80"/>
    <mergeCell ref="E81:F81"/>
    <mergeCell ref="E85:F85"/>
    <mergeCell ref="E89:F89"/>
    <mergeCell ref="E87:F87"/>
    <mergeCell ref="E83:F83"/>
    <mergeCell ref="E82:F82"/>
    <mergeCell ref="E86:F86"/>
    <mergeCell ref="E88:F88"/>
    <mergeCell ref="H162:I162"/>
    <mergeCell ref="A168:E168"/>
    <mergeCell ref="D169:E169"/>
    <mergeCell ref="A137:A139"/>
    <mergeCell ref="D145:D146"/>
    <mergeCell ref="A143:E143"/>
    <mergeCell ref="J90:K90"/>
    <mergeCell ref="J86:L86"/>
    <mergeCell ref="J87:L87"/>
    <mergeCell ref="J76:K76"/>
    <mergeCell ref="J81:K81"/>
    <mergeCell ref="J82:K82"/>
    <mergeCell ref="J84:L8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2:Q30"/>
  <sheetViews>
    <sheetView workbookViewId="0">
      <selection activeCell="C28" sqref="C28"/>
    </sheetView>
  </sheetViews>
  <sheetFormatPr defaultRowHeight="15"/>
  <cols>
    <col min="1" max="1" width="9.140625" style="224"/>
    <col min="2" max="2" width="31" customWidth="1"/>
    <col min="3" max="17" width="9.140625" style="158"/>
  </cols>
  <sheetData>
    <row r="2" spans="1:17">
      <c r="E2" s="158" t="s">
        <v>259</v>
      </c>
    </row>
    <row r="3" spans="1:17" s="160" customFormat="1">
      <c r="A3" s="408" t="s">
        <v>231</v>
      </c>
      <c r="B3" s="402" t="s">
        <v>218</v>
      </c>
      <c r="C3" s="345" t="s">
        <v>2</v>
      </c>
      <c r="D3" s="164" t="s">
        <v>260</v>
      </c>
      <c r="E3" s="164">
        <f>625.4*7</f>
        <v>4377.8</v>
      </c>
      <c r="F3" s="164">
        <f>2407.2*6</f>
        <v>14443.199999999999</v>
      </c>
      <c r="G3" s="165">
        <v>380</v>
      </c>
      <c r="H3" s="165"/>
      <c r="I3" s="164"/>
      <c r="J3" s="164"/>
      <c r="K3" s="164"/>
      <c r="L3" s="164"/>
      <c r="M3" s="164"/>
      <c r="N3" s="164"/>
      <c r="O3" s="164"/>
      <c r="P3" s="164"/>
      <c r="Q3" s="164"/>
    </row>
    <row r="4" spans="1:17" s="160" customFormat="1">
      <c r="A4" s="407"/>
      <c r="B4" s="402"/>
      <c r="C4" s="345"/>
      <c r="D4" s="401">
        <f>(SUM(E3:N3))/100</f>
        <v>192.01</v>
      </c>
      <c r="E4" s="401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</row>
    <row r="5" spans="1:17" s="160" customFormat="1">
      <c r="A5" s="408" t="s">
        <v>231</v>
      </c>
      <c r="B5" s="405" t="s">
        <v>215</v>
      </c>
      <c r="C5" s="345" t="s">
        <v>2</v>
      </c>
      <c r="D5" s="164" t="s">
        <v>260</v>
      </c>
      <c r="E5" s="164">
        <v>2165.1</v>
      </c>
      <c r="F5" s="164">
        <v>2303</v>
      </c>
      <c r="G5" s="164">
        <v>2223.6</v>
      </c>
      <c r="H5" s="164">
        <v>1709.2</v>
      </c>
      <c r="I5" s="164">
        <v>2127.3000000000002</v>
      </c>
      <c r="J5" s="164">
        <v>2320.8000000000002</v>
      </c>
      <c r="K5" s="164">
        <v>2050.6</v>
      </c>
      <c r="L5" s="164">
        <v>1880.5</v>
      </c>
      <c r="M5" s="164">
        <v>2303.3000000000002</v>
      </c>
      <c r="N5" s="165">
        <v>120</v>
      </c>
      <c r="O5" s="164"/>
      <c r="P5" s="164"/>
      <c r="Q5" s="164"/>
    </row>
    <row r="6" spans="1:17" s="160" customFormat="1">
      <c r="A6" s="407"/>
      <c r="B6" s="405"/>
      <c r="C6" s="345"/>
      <c r="D6" s="401">
        <f>(SUM(E5:R5))/100</f>
        <v>192.03399999999999</v>
      </c>
      <c r="E6" s="401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</row>
    <row r="7" spans="1:17" s="160" customFormat="1">
      <c r="A7" s="408" t="s">
        <v>231</v>
      </c>
      <c r="B7" s="405" t="s">
        <v>216</v>
      </c>
      <c r="C7" s="345" t="s">
        <v>2</v>
      </c>
      <c r="D7" s="164" t="s">
        <v>260</v>
      </c>
      <c r="E7" s="164">
        <v>1464.1</v>
      </c>
      <c r="F7" s="164">
        <v>7269.4</v>
      </c>
      <c r="G7" s="165">
        <v>120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7" s="160" customFormat="1">
      <c r="A8" s="407"/>
      <c r="B8" s="405"/>
      <c r="C8" s="345"/>
      <c r="D8" s="401">
        <f>(SUM(E7:O7))/100</f>
        <v>88.534999999999997</v>
      </c>
      <c r="E8" s="401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</row>
    <row r="9" spans="1:17" s="160" customFormat="1">
      <c r="A9" s="159" t="s">
        <v>231</v>
      </c>
      <c r="B9" s="161" t="s">
        <v>217</v>
      </c>
      <c r="C9" s="162" t="s">
        <v>17</v>
      </c>
      <c r="D9" s="400">
        <v>13</v>
      </c>
      <c r="E9" s="400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</row>
    <row r="10" spans="1:17" s="160" customFormat="1">
      <c r="A10" s="408" t="s">
        <v>231</v>
      </c>
      <c r="B10" s="402" t="s">
        <v>219</v>
      </c>
      <c r="C10" s="345" t="s">
        <v>1</v>
      </c>
      <c r="D10" s="164" t="s">
        <v>260</v>
      </c>
      <c r="E10" s="164">
        <v>7269.4</v>
      </c>
      <c r="F10" s="164">
        <v>1464.1</v>
      </c>
      <c r="G10" s="164">
        <v>2165.1</v>
      </c>
      <c r="H10" s="164">
        <v>2303</v>
      </c>
      <c r="I10" s="164">
        <v>2223.6</v>
      </c>
      <c r="J10" s="164">
        <v>1709.2</v>
      </c>
      <c r="K10" s="164">
        <v>2127.3000000000002</v>
      </c>
      <c r="L10" s="164">
        <v>2320.8000000000002</v>
      </c>
      <c r="M10" s="164">
        <v>2050.6</v>
      </c>
      <c r="N10" s="164">
        <v>1880.5</v>
      </c>
      <c r="O10" s="164">
        <v>2303.3000000000002</v>
      </c>
      <c r="P10" s="164"/>
      <c r="Q10" s="164"/>
    </row>
    <row r="11" spans="1:17" s="160" customFormat="1">
      <c r="A11" s="409"/>
      <c r="B11" s="402"/>
      <c r="C11" s="345"/>
      <c r="D11" s="401">
        <f>((SUM(E10:O10))/100)*0.3*0.3</f>
        <v>25.035209999999999</v>
      </c>
      <c r="E11" s="401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</row>
    <row r="12" spans="1:17" s="160" customFormat="1">
      <c r="A12" s="406" t="s">
        <v>231</v>
      </c>
      <c r="B12" s="403" t="s">
        <v>222</v>
      </c>
      <c r="C12" s="403" t="s">
        <v>2</v>
      </c>
      <c r="D12" s="166" t="s">
        <v>260</v>
      </c>
      <c r="E12" s="165">
        <v>380</v>
      </c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</row>
    <row r="13" spans="1:17" s="160" customFormat="1">
      <c r="A13" s="407"/>
      <c r="B13" s="404"/>
      <c r="C13" s="404"/>
      <c r="D13" s="401">
        <f>G27+(E12/100)</f>
        <v>621.18563999999981</v>
      </c>
      <c r="E13" s="401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</row>
    <row r="14" spans="1:17" s="160" customFormat="1">
      <c r="A14" s="406" t="s">
        <v>231</v>
      </c>
      <c r="B14" s="403" t="s">
        <v>223</v>
      </c>
      <c r="C14" s="403" t="s">
        <v>2</v>
      </c>
      <c r="D14" s="164" t="s">
        <v>260</v>
      </c>
      <c r="E14" s="164">
        <v>1464.1</v>
      </c>
      <c r="F14" s="164">
        <v>7269.4</v>
      </c>
      <c r="G14" s="165">
        <v>120</v>
      </c>
      <c r="H14" s="164">
        <v>7269.4</v>
      </c>
      <c r="I14" s="164">
        <v>7269.4</v>
      </c>
      <c r="J14" s="164"/>
      <c r="K14" s="164"/>
      <c r="L14" s="164"/>
      <c r="M14" s="164"/>
      <c r="N14" s="164"/>
      <c r="O14" s="164"/>
      <c r="P14" s="164"/>
      <c r="Q14" s="164"/>
    </row>
    <row r="15" spans="1:17" s="160" customFormat="1">
      <c r="A15" s="407"/>
      <c r="B15" s="404"/>
      <c r="C15" s="404"/>
      <c r="D15" s="401">
        <f>(SUM(E14:I14))/100</f>
        <v>233.923</v>
      </c>
      <c r="E15" s="401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</row>
    <row r="16" spans="1:17" s="160" customFormat="1">
      <c r="A16" s="159" t="s">
        <v>231</v>
      </c>
      <c r="B16" s="163" t="s">
        <v>220</v>
      </c>
      <c r="C16" s="162" t="s">
        <v>17</v>
      </c>
      <c r="D16" s="399">
        <v>1</v>
      </c>
      <c r="E16" s="400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</row>
    <row r="17" spans="1:17" s="160" customFormat="1">
      <c r="A17" s="159" t="s">
        <v>231</v>
      </c>
      <c r="B17" s="163" t="s">
        <v>221</v>
      </c>
      <c r="C17" s="162" t="s">
        <v>17</v>
      </c>
      <c r="D17" s="399">
        <v>1</v>
      </c>
      <c r="E17" s="400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</row>
    <row r="18" spans="1:17" s="160" customFormat="1">
      <c r="A18" s="159" t="s">
        <v>231</v>
      </c>
      <c r="B18" s="163" t="s">
        <v>227</v>
      </c>
      <c r="C18" s="162" t="s">
        <v>17</v>
      </c>
      <c r="D18" s="399">
        <v>24</v>
      </c>
      <c r="E18" s="400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</row>
    <row r="19" spans="1:17" s="160" customFormat="1">
      <c r="A19" s="159" t="s">
        <v>390</v>
      </c>
      <c r="B19" s="163" t="s">
        <v>269</v>
      </c>
      <c r="C19" s="162" t="s">
        <v>17</v>
      </c>
      <c r="D19" s="399">
        <v>1</v>
      </c>
      <c r="E19" s="400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</row>
    <row r="21" spans="1:17">
      <c r="B21" s="158"/>
      <c r="F21" s="336" t="s">
        <v>261</v>
      </c>
      <c r="G21" s="336"/>
      <c r="H21" s="336"/>
      <c r="I21" s="336"/>
      <c r="J21" s="336"/>
      <c r="K21" s="336"/>
      <c r="L21" s="336"/>
      <c r="M21" s="336"/>
      <c r="N21" s="336"/>
      <c r="O21" s="336"/>
      <c r="P21" s="336"/>
    </row>
    <row r="22" spans="1:17">
      <c r="B22" s="158"/>
      <c r="G22" s="158" t="s">
        <v>265</v>
      </c>
      <c r="H22" s="158" t="s">
        <v>265</v>
      </c>
      <c r="I22" s="158" t="s">
        <v>265</v>
      </c>
      <c r="K22" s="336" t="s">
        <v>266</v>
      </c>
      <c r="L22" s="336"/>
      <c r="M22" s="336" t="s">
        <v>267</v>
      </c>
      <c r="N22" s="336"/>
      <c r="O22" s="336" t="s">
        <v>268</v>
      </c>
      <c r="P22" s="336"/>
    </row>
    <row r="23" spans="1:17">
      <c r="B23" s="158"/>
      <c r="F23" s="158" t="s">
        <v>262</v>
      </c>
      <c r="G23" s="158">
        <v>3728.7080000000001</v>
      </c>
      <c r="K23" s="158">
        <v>2396.7040000000002</v>
      </c>
      <c r="L23" s="158">
        <v>2396.7040000000002</v>
      </c>
      <c r="M23" s="158">
        <v>2396.7040000000002</v>
      </c>
      <c r="N23" s="158">
        <v>2396.7040000000002</v>
      </c>
      <c r="O23" s="158">
        <v>2396.7040000000002</v>
      </c>
      <c r="P23" s="158">
        <v>2396.7040000000002</v>
      </c>
    </row>
    <row r="24" spans="1:17">
      <c r="B24" s="158"/>
      <c r="F24" s="158" t="s">
        <v>263</v>
      </c>
      <c r="G24" s="158">
        <v>3728.7080000000001</v>
      </c>
      <c r="H24" s="158">
        <v>2478.3130000000001</v>
      </c>
      <c r="I24" s="158">
        <v>1227.5709999999999</v>
      </c>
      <c r="K24" s="158">
        <v>2396.7040000000002</v>
      </c>
      <c r="L24" s="158">
        <v>2396.7040000000002</v>
      </c>
      <c r="M24" s="158">
        <v>2396.7040000000002</v>
      </c>
      <c r="N24" s="158">
        <v>2396.7040000000002</v>
      </c>
      <c r="O24" s="158">
        <v>2396.7040000000002</v>
      </c>
      <c r="P24" s="158">
        <v>2396.7040000000002</v>
      </c>
    </row>
    <row r="25" spans="1:17">
      <c r="B25" s="158"/>
      <c r="F25" s="158" t="s">
        <v>264</v>
      </c>
      <c r="G25" s="158">
        <v>3728.7080000000001</v>
      </c>
      <c r="H25" s="158">
        <v>2478.3130000000001</v>
      </c>
      <c r="I25" s="158">
        <v>1227.5709999999999</v>
      </c>
      <c r="K25" s="158">
        <v>2396.7040000000002</v>
      </c>
      <c r="L25" s="158">
        <v>2396.7040000000002</v>
      </c>
      <c r="M25" s="158">
        <v>2396.7040000000002</v>
      </c>
      <c r="N25" s="158">
        <v>2396.7040000000002</v>
      </c>
      <c r="O25" s="158">
        <v>2396.7040000000002</v>
      </c>
      <c r="P25" s="158">
        <v>2396.7040000000002</v>
      </c>
    </row>
    <row r="26" spans="1:17">
      <c r="B26" s="158"/>
    </row>
    <row r="27" spans="1:17">
      <c r="B27" s="158"/>
      <c r="F27" s="158" t="s">
        <v>34</v>
      </c>
      <c r="G27" s="158">
        <f>(SUM(G23:I25,K23:P25))/100</f>
        <v>617.38563999999985</v>
      </c>
    </row>
    <row r="28" spans="1:17">
      <c r="B28" s="158"/>
    </row>
    <row r="29" spans="1:17">
      <c r="B29" s="158"/>
    </row>
    <row r="30" spans="1:17">
      <c r="B30" s="158"/>
    </row>
  </sheetData>
  <mergeCells count="33">
    <mergeCell ref="A12:A13"/>
    <mergeCell ref="A14:A15"/>
    <mergeCell ref="A3:A4"/>
    <mergeCell ref="A5:A6"/>
    <mergeCell ref="A7:A8"/>
    <mergeCell ref="A10:A11"/>
    <mergeCell ref="D9:E9"/>
    <mergeCell ref="C3:C4"/>
    <mergeCell ref="B3:B4"/>
    <mergeCell ref="D4:E4"/>
    <mergeCell ref="B5:B6"/>
    <mergeCell ref="C5:C6"/>
    <mergeCell ref="B7:B8"/>
    <mergeCell ref="C7:C8"/>
    <mergeCell ref="D6:E6"/>
    <mergeCell ref="D8:E8"/>
    <mergeCell ref="D11:E11"/>
    <mergeCell ref="B10:B11"/>
    <mergeCell ref="B12:B13"/>
    <mergeCell ref="B14:B15"/>
    <mergeCell ref="C14:C15"/>
    <mergeCell ref="D13:E13"/>
    <mergeCell ref="D15:E15"/>
    <mergeCell ref="C10:C11"/>
    <mergeCell ref="C12:C13"/>
    <mergeCell ref="K22:L22"/>
    <mergeCell ref="M22:N22"/>
    <mergeCell ref="O22:P22"/>
    <mergeCell ref="F21:P21"/>
    <mergeCell ref="D16:E16"/>
    <mergeCell ref="D17:E17"/>
    <mergeCell ref="D18:E18"/>
    <mergeCell ref="D19:E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Orçamento</vt:lpstr>
      <vt:lpstr>Composição</vt:lpstr>
      <vt:lpstr>Cálculos</vt:lpstr>
      <vt:lpstr>Quantitativos elétricos</vt:lpstr>
      <vt:lpstr>Composição!Area_de_impressao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hlabres</dc:creator>
  <cp:lastModifiedBy>asilveira</cp:lastModifiedBy>
  <cp:lastPrinted>2022-01-28T18:12:23Z</cp:lastPrinted>
  <dcterms:created xsi:type="dcterms:W3CDTF">2020-02-11T18:06:38Z</dcterms:created>
  <dcterms:modified xsi:type="dcterms:W3CDTF">2022-02-14T14:17:06Z</dcterms:modified>
</cp:coreProperties>
</file>