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160" activeTab="3"/>
  </bookViews>
  <sheets>
    <sheet name="Orçamento" sheetId="1" r:id="rId1"/>
    <sheet name="Composição" sheetId="6" r:id="rId2"/>
    <sheet name="Cálculos" sheetId="3" r:id="rId3"/>
    <sheet name="Quantitativos elétricos" sheetId="5" r:id="rId4"/>
  </sheets>
  <definedNames>
    <definedName name="_xlnm.Print_Area" localSheetId="1">Composição!$A$1:$G$18</definedName>
    <definedName name="_xlnm.Print_Area" localSheetId="0">Orçamento!$A$1:$O$32</definedName>
    <definedName name="_xlnm.Print_Titles" localSheetId="0">Orçamento!$1:$9</definedName>
  </definedNames>
  <calcPr calcId="124519"/>
</workbook>
</file>

<file path=xl/calcChain.xml><?xml version="1.0" encoding="utf-8"?>
<calcChain xmlns="http://schemas.openxmlformats.org/spreadsheetml/2006/main">
  <c r="K22" i="1"/>
  <c r="J22"/>
  <c r="K21"/>
  <c r="J21"/>
  <c r="H11" l="1"/>
  <c r="K11" s="1"/>
  <c r="N11" s="1"/>
  <c r="G11"/>
  <c r="J11" s="1"/>
  <c r="M11" s="1"/>
  <c r="F17" i="6"/>
  <c r="F16"/>
  <c r="H23" i="1"/>
  <c r="K23" s="1"/>
  <c r="N23" s="1"/>
  <c r="G20"/>
  <c r="J20" s="1"/>
  <c r="H19"/>
  <c r="K19" s="1"/>
  <c r="G19"/>
  <c r="J19" s="1"/>
  <c r="H17"/>
  <c r="K17" s="1"/>
  <c r="H16"/>
  <c r="K16" s="1"/>
  <c r="G16"/>
  <c r="J16" s="1"/>
  <c r="G15"/>
  <c r="J15" s="1"/>
  <c r="G14"/>
  <c r="J14" s="1"/>
  <c r="H12"/>
  <c r="K12" s="1"/>
  <c r="N12" s="1"/>
  <c r="J12"/>
  <c r="M12" s="1"/>
  <c r="K24"/>
  <c r="N24" s="1"/>
  <c r="J24"/>
  <c r="M24" s="1"/>
  <c r="J23"/>
  <c r="N22"/>
  <c r="M22"/>
  <c r="N21"/>
  <c r="M21"/>
  <c r="K20"/>
  <c r="K18"/>
  <c r="J18"/>
  <c r="J17"/>
  <c r="K15"/>
  <c r="K14"/>
  <c r="N10" l="1"/>
  <c r="M10"/>
  <c r="L23"/>
  <c r="M23"/>
  <c r="L20"/>
  <c r="L16"/>
  <c r="L14"/>
  <c r="L19"/>
  <c r="L12"/>
  <c r="L11"/>
  <c r="L24"/>
  <c r="L15"/>
  <c r="L18"/>
  <c r="L21"/>
  <c r="L17"/>
  <c r="L22"/>
  <c r="O22" l="1"/>
  <c r="O24"/>
  <c r="O21"/>
  <c r="O23"/>
  <c r="F20"/>
  <c r="I20"/>
  <c r="E112" i="3"/>
  <c r="B111"/>
  <c r="N20" i="1" l="1"/>
  <c r="M20"/>
  <c r="I24"/>
  <c r="O20" l="1"/>
  <c r="I17" i="6"/>
  <c r="I16"/>
  <c r="G16"/>
  <c r="G15"/>
  <c r="G14"/>
  <c r="G13"/>
  <c r="G12"/>
  <c r="G11"/>
  <c r="G10"/>
  <c r="F6" l="1"/>
  <c r="F5"/>
  <c r="G18"/>
  <c r="I21" i="1"/>
  <c r="G5" i="6" l="1"/>
  <c r="O11" i="1"/>
  <c r="I11"/>
  <c r="N84" i="3" l="1"/>
  <c r="N83"/>
  <c r="N82"/>
  <c r="J87"/>
  <c r="J82"/>
  <c r="J80"/>
  <c r="I18" i="1" l="1"/>
  <c r="I22"/>
  <c r="I23"/>
  <c r="E62" i="3"/>
  <c r="E61"/>
  <c r="E60"/>
  <c r="E59"/>
  <c r="E58"/>
  <c r="E57"/>
  <c r="D15" i="5"/>
  <c r="K48" i="3"/>
  <c r="K47"/>
  <c r="D190"/>
  <c r="D188"/>
  <c r="I182"/>
  <c r="B190"/>
  <c r="I180"/>
  <c r="F183"/>
  <c r="B184"/>
  <c r="B188" l="1"/>
  <c r="O21"/>
  <c r="I18"/>
  <c r="I12" i="1" l="1"/>
  <c r="K19" i="3"/>
  <c r="B128"/>
  <c r="B140"/>
  <c r="F16" i="1"/>
  <c r="H103" i="3"/>
  <c r="F14" i="1" s="1"/>
  <c r="E108" i="3"/>
  <c r="F15" i="1" s="1"/>
  <c r="B173" i="3"/>
  <c r="B166"/>
  <c r="B170"/>
  <c r="D170" s="1"/>
  <c r="B134"/>
  <c r="D163"/>
  <c r="E146"/>
  <c r="E145"/>
  <c r="E148" s="1"/>
  <c r="B151" s="1"/>
  <c r="F18" i="1" s="1"/>
  <c r="B120" i="3"/>
  <c r="F17" i="1" s="1"/>
  <c r="B108" i="3"/>
  <c r="B109" s="1"/>
  <c r="F19" i="1" s="1"/>
  <c r="M18" l="1"/>
  <c r="N18"/>
  <c r="N19"/>
  <c r="M19"/>
  <c r="N16"/>
  <c r="M16"/>
  <c r="M14"/>
  <c r="N14"/>
  <c r="N17"/>
  <c r="M17"/>
  <c r="M15"/>
  <c r="N15"/>
  <c r="D129" i="3"/>
  <c r="O12" i="1"/>
  <c r="O10" s="1"/>
  <c r="I17"/>
  <c r="I16"/>
  <c r="I15"/>
  <c r="I19"/>
  <c r="B81" i="3"/>
  <c r="E90"/>
  <c r="G90" s="1"/>
  <c r="D90"/>
  <c r="E88"/>
  <c r="D88"/>
  <c r="E84"/>
  <c r="D84"/>
  <c r="G82"/>
  <c r="E80"/>
  <c r="D80"/>
  <c r="M9" i="1" l="1"/>
  <c r="M13"/>
  <c r="M26" s="1"/>
  <c r="N13"/>
  <c r="N26" s="1"/>
  <c r="N9"/>
  <c r="O15"/>
  <c r="O18"/>
  <c r="O17"/>
  <c r="O19"/>
  <c r="I14"/>
  <c r="O16"/>
  <c r="G80" i="3"/>
  <c r="G84"/>
  <c r="G88"/>
  <c r="G78"/>
  <c r="D13" i="5"/>
  <c r="G27"/>
  <c r="D6"/>
  <c r="D8"/>
  <c r="D4"/>
  <c r="F3"/>
  <c r="E3"/>
  <c r="D11"/>
  <c r="B68" i="3"/>
  <c r="F67"/>
  <c r="E34"/>
  <c r="O14" i="1" l="1"/>
  <c r="F68" i="3"/>
  <c r="B70" s="1"/>
  <c r="O13" i="1" l="1"/>
  <c r="O26" s="1"/>
  <c r="O9"/>
  <c r="B71" i="3"/>
  <c r="C63" l="1"/>
  <c r="D63"/>
  <c r="B63"/>
  <c r="S14"/>
  <c r="R14"/>
  <c r="O14"/>
  <c r="I48"/>
  <c r="F20" l="1"/>
  <c r="F21" s="1"/>
  <c r="B51"/>
  <c r="B52" s="1"/>
  <c r="B34" l="1"/>
  <c r="E36" s="1"/>
  <c r="I38" l="1"/>
  <c r="I28" l="1"/>
  <c r="I29" s="1"/>
  <c r="I34" s="1"/>
  <c r="H21"/>
  <c r="I39" s="1"/>
  <c r="I41" s="1"/>
  <c r="B20"/>
  <c r="B19"/>
  <c r="B38" l="1"/>
  <c r="B21"/>
  <c r="E24" s="1"/>
  <c r="B12" s="1"/>
  <c r="B13" s="1"/>
  <c r="B27"/>
  <c r="B26"/>
  <c r="B25"/>
  <c r="K27"/>
  <c r="K29" s="1"/>
  <c r="K30" s="1"/>
  <c r="K34" s="1"/>
  <c r="C40" l="1"/>
  <c r="D40" s="1"/>
  <c r="C42"/>
  <c r="C43"/>
  <c r="C41"/>
  <c r="B22"/>
  <c r="E25" s="1"/>
</calcChain>
</file>

<file path=xl/comments1.xml><?xml version="1.0" encoding="utf-8"?>
<comments xmlns="http://schemas.openxmlformats.org/spreadsheetml/2006/main">
  <authors>
    <author>thomas.azevedo</author>
  </authors>
  <commentList>
    <comment ref="R7" authorId="0">
      <text>
        <r>
          <rPr>
            <b/>
            <sz val="9"/>
            <color indexed="81"/>
            <rFont val="Tahoma"/>
            <family val="2"/>
          </rPr>
          <t>thomas.azevedo:</t>
        </r>
        <r>
          <rPr>
            <sz val="9"/>
            <color indexed="81"/>
            <rFont val="Tahoma"/>
            <family val="2"/>
          </rPr>
          <t xml:space="preserve">
FORAM REALIZADAS SOMAS DE DIFERNETES FORMAS</t>
        </r>
      </text>
    </comment>
    <comment ref="B9" authorId="0">
      <text>
        <r>
          <rPr>
            <b/>
            <sz val="9"/>
            <color indexed="81"/>
            <rFont val="Tahoma"/>
            <family val="2"/>
          </rPr>
          <t>thomas.azevedo:
Retirada do catálogo Gerdau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thomas.azevedo:</t>
        </r>
        <r>
          <rPr>
            <sz val="9"/>
            <color indexed="81"/>
            <rFont val="Tahoma"/>
            <family val="2"/>
          </rPr>
          <t xml:space="preserve">
Soma do piso entorno da grama e quadra menor de concreto</t>
        </r>
      </text>
    </comment>
    <comment ref="B13" authorId="0">
      <text>
        <r>
          <rPr>
            <b/>
            <sz val="9"/>
            <color indexed="81"/>
            <rFont val="Tahoma"/>
            <family val="2"/>
          </rPr>
          <t>thomas.azevedo:</t>
        </r>
        <r>
          <rPr>
            <sz val="9"/>
            <color indexed="81"/>
            <rFont val="Tahoma"/>
            <family val="2"/>
          </rPr>
          <t xml:space="preserve">
10% a mais</t>
        </r>
      </text>
    </comment>
    <comment ref="B21" authorId="0">
      <text>
        <r>
          <rPr>
            <b/>
            <sz val="9"/>
            <color indexed="81"/>
            <rFont val="Tahoma"/>
            <family val="2"/>
          </rPr>
          <t>thomas.azevedo:</t>
        </r>
        <r>
          <rPr>
            <sz val="9"/>
            <color indexed="81"/>
            <rFont val="Tahoma"/>
            <family val="2"/>
          </rPr>
          <t xml:space="preserve">
Diferença da área da quadra pela área da grama</t>
        </r>
      </text>
    </comment>
    <comment ref="F21" authorId="0">
      <text>
        <r>
          <rPr>
            <b/>
            <sz val="9"/>
            <color indexed="81"/>
            <rFont val="Tahoma"/>
            <family val="2"/>
          </rPr>
          <t>thomas.azevedo:</t>
        </r>
        <r>
          <rPr>
            <sz val="9"/>
            <color indexed="81"/>
            <rFont val="Tahoma"/>
            <family val="2"/>
          </rPr>
          <t xml:space="preserve">
10 cm de radier</t>
        </r>
      </text>
    </comment>
    <comment ref="B22" authorId="0">
      <text>
        <r>
          <rPr>
            <b/>
            <sz val="9"/>
            <color indexed="81"/>
            <rFont val="Tahoma"/>
            <family val="2"/>
          </rPr>
          <t>thomas.azevedo:</t>
        </r>
        <r>
          <rPr>
            <sz val="9"/>
            <color indexed="81"/>
            <rFont val="Tahoma"/>
            <family val="2"/>
          </rPr>
          <t xml:space="preserve">
10 cm de radier</t>
        </r>
      </text>
    </comment>
    <comment ref="D30" authorId="0">
      <text>
        <r>
          <rPr>
            <b/>
            <sz val="9"/>
            <color indexed="81"/>
            <rFont val="Tahoma"/>
            <family val="2"/>
          </rPr>
          <t>thomas.azeved</t>
        </r>
      </text>
    </comment>
    <comment ref="D57" authorId="0">
      <text>
        <r>
          <rPr>
            <b/>
            <sz val="9"/>
            <color indexed="81"/>
            <rFont val="Tahoma"/>
            <family val="2"/>
          </rPr>
          <t>thomas.azevedo:
inclui balanço 3 lugares</t>
        </r>
      </text>
    </comment>
    <comment ref="B58" authorId="0">
      <text>
        <r>
          <rPr>
            <b/>
            <sz val="9"/>
            <color indexed="81"/>
            <rFont val="Tahoma"/>
            <family val="2"/>
          </rPr>
          <t>thomas.azevedo:</t>
        </r>
        <r>
          <rPr>
            <sz val="9"/>
            <color indexed="81"/>
            <rFont val="Tahoma"/>
            <family val="2"/>
          </rPr>
          <t xml:space="preserve">
escorregador de plástico com estrutura de ferro carbono</t>
        </r>
      </text>
    </comment>
    <comment ref="C58" authorId="0">
      <text>
        <r>
          <rPr>
            <b/>
            <sz val="9"/>
            <color indexed="81"/>
            <rFont val="Tahoma"/>
            <family val="2"/>
          </rPr>
          <t>thomas.azevedo:</t>
        </r>
        <r>
          <rPr>
            <sz val="9"/>
            <color indexed="81"/>
            <rFont val="Tahoma"/>
            <family val="2"/>
          </rPr>
          <t xml:space="preserve">
escorregador de madeira</t>
        </r>
      </text>
    </comment>
    <comment ref="B59" authorId="0">
      <text>
        <r>
          <rPr>
            <b/>
            <sz val="9"/>
            <color indexed="81"/>
            <rFont val="Tahoma"/>
            <family val="2"/>
          </rPr>
          <t>thomas.azevedo:</t>
        </r>
        <r>
          <rPr>
            <sz val="9"/>
            <color indexed="81"/>
            <rFont val="Tahoma"/>
            <family val="2"/>
          </rPr>
          <t xml:space="preserve">
balanço 3 lugares
</t>
        </r>
      </text>
    </comment>
    <comment ref="C59" authorId="0">
      <text>
        <r>
          <rPr>
            <b/>
            <sz val="9"/>
            <color indexed="81"/>
            <rFont val="Tahoma"/>
            <family val="2"/>
          </rPr>
          <t>thomas.azevedo:</t>
        </r>
        <r>
          <rPr>
            <sz val="9"/>
            <color indexed="81"/>
            <rFont val="Tahoma"/>
            <family val="2"/>
          </rPr>
          <t xml:space="preserve">
balanço 4 lugares
</t>
        </r>
      </text>
    </comment>
  </commentList>
</comments>
</file>

<file path=xl/sharedStrings.xml><?xml version="1.0" encoding="utf-8"?>
<sst xmlns="http://schemas.openxmlformats.org/spreadsheetml/2006/main" count="424" uniqueCount="300">
  <si>
    <t>M2</t>
  </si>
  <si>
    <t>M3</t>
  </si>
  <si>
    <t>M</t>
  </si>
  <si>
    <t>Item</t>
  </si>
  <si>
    <t>Fonte</t>
  </si>
  <si>
    <t>Código</t>
  </si>
  <si>
    <t>Descrição</t>
  </si>
  <si>
    <t>Quantidade</t>
  </si>
  <si>
    <t>Preço Total
(R$)</t>
  </si>
  <si>
    <t>BDI da obra:</t>
  </si>
  <si>
    <t>1.</t>
  </si>
  <si>
    <t>Planilha Orçamentária</t>
  </si>
  <si>
    <t>PESQUISA</t>
  </si>
  <si>
    <t>UN</t>
  </si>
  <si>
    <t>1.2</t>
  </si>
  <si>
    <t>2.</t>
  </si>
  <si>
    <t>2.3</t>
  </si>
  <si>
    <t>SINAPI</t>
  </si>
  <si>
    <t>94228</t>
  </si>
  <si>
    <t>CALHA EM CHAPA DE AÇO GALVANIZADO NÚMERO 24, DESENVOLVIMENTO DE 50 CM, INCLUSO TRANSPORTE VERTICAL. AF_07/2019</t>
  </si>
  <si>
    <t>-</t>
  </si>
  <si>
    <t>PAVILHÃO</t>
  </si>
  <si>
    <t>KG/M²</t>
  </si>
  <si>
    <t>CÁLCULO DAS TELAS PARA QUADRA</t>
  </si>
  <si>
    <t>TELA Q - 92</t>
  </si>
  <si>
    <t>ÁREA TOTAL QUADRA</t>
  </si>
  <si>
    <t>TOTAL EM KG</t>
  </si>
  <si>
    <t>TOTAL</t>
  </si>
  <si>
    <t>2.1</t>
  </si>
  <si>
    <t>2.2</t>
  </si>
  <si>
    <t>KG</t>
  </si>
  <si>
    <t>ÁREA GRAMA</t>
  </si>
  <si>
    <t>ÁREA PISO POLIDO</t>
  </si>
  <si>
    <t>ÁREA TOTAL DE PISO</t>
  </si>
  <si>
    <t>DIMENSÕES VIGAS</t>
  </si>
  <si>
    <t>METROS LINEARES</t>
  </si>
  <si>
    <t>VOL. TOTAL</t>
  </si>
  <si>
    <t>BARRAS LONGITUDINAIS</t>
  </si>
  <si>
    <t>Nº BARRAS</t>
  </si>
  <si>
    <t>EM BARRAS DE 12m</t>
  </si>
  <si>
    <t>ESTRIBOS</t>
  </si>
  <si>
    <t>ESPAÇO ENTRE</t>
  </si>
  <si>
    <t>TOTAL DE ESTRIBOS</t>
  </si>
  <si>
    <t>MEDIDA LINEAR DE 1 ESTRIBO</t>
  </si>
  <si>
    <t>MEDIDA LINEAR TOTAL DE ESTRBOS</t>
  </si>
  <si>
    <t>EM BARRAS DE 12</t>
  </si>
  <si>
    <t>MASSA DA BARRA</t>
  </si>
  <si>
    <t>MASSA TOTAL</t>
  </si>
  <si>
    <t>H FORMA</t>
  </si>
  <si>
    <t>COMPRIMENTO FORMA</t>
  </si>
  <si>
    <t>LADOS</t>
  </si>
  <si>
    <t>ÁREA TOTAL</t>
  </si>
  <si>
    <t>FORMAS</t>
  </si>
  <si>
    <t>MÉDIA GRAMA</t>
  </si>
  <si>
    <t>ORÇAMENTO 1</t>
  </si>
  <si>
    <t>ORÇAMENTO 2</t>
  </si>
  <si>
    <t>ORÇAMENTO 3</t>
  </si>
  <si>
    <t>MÉDIA</t>
  </si>
  <si>
    <t>TOTAL (R$)</t>
  </si>
  <si>
    <t>VOLUME DE BRITA 02</t>
  </si>
  <si>
    <t>VOLUME DE BRITA 01</t>
  </si>
  <si>
    <t>VOLUME DE BRITA 00</t>
  </si>
  <si>
    <t>TUBOS DE 100</t>
  </si>
  <si>
    <t>DIMENSÕES DA TELA COM 10cm DESCONTADO  EM CADA LADO DESCONTADO</t>
  </si>
  <si>
    <t>AÇO PARA VIGA BALDRAME</t>
  </si>
  <si>
    <t>ÁREA QUADRA (MENOR) DE CONCRETO</t>
  </si>
  <si>
    <t>ÁREA DE PISO POLIDO DA QUADRA MENOR</t>
  </si>
  <si>
    <t>PISO POLIDO TOTAL</t>
  </si>
  <si>
    <t xml:space="preserve">VOLUME DE RADIER </t>
  </si>
  <si>
    <t>VOLUME DE RADIER</t>
  </si>
  <si>
    <t>VOLUME TOTAL DE RADIER</t>
  </si>
  <si>
    <t>ÁREA PASSEIO (SAIBRO)</t>
  </si>
  <si>
    <t>ESPESSURA DO PASSEIO (SAIBRO)</t>
  </si>
  <si>
    <t>VOLUME (SAIBRO)</t>
  </si>
  <si>
    <t>SOMA MEIO FIO</t>
  </si>
  <si>
    <t>MÉDIA BRINQUEDOS</t>
  </si>
  <si>
    <t>PLAYGROUND</t>
  </si>
  <si>
    <t>ESCORREGADOR</t>
  </si>
  <si>
    <t>BALANÇO</t>
  </si>
  <si>
    <t>GANGORRSA ACESSÍVEL</t>
  </si>
  <si>
    <t>CARROSSEL ACESSÍVEL</t>
  </si>
  <si>
    <t>BALANÇO INCLUSÃO</t>
  </si>
  <si>
    <t>total</t>
  </si>
  <si>
    <t>PISO QUADRA DE CONCRETO  (MENOR)</t>
  </si>
  <si>
    <t>EMPRESA 1</t>
  </si>
  <si>
    <t>EMPRESA 2</t>
  </si>
  <si>
    <t>EMPRESA 3</t>
  </si>
  <si>
    <t>SERVIÇOS PRELIMINARES</t>
  </si>
  <si>
    <t>MÉDIA QUANTIDADE DE AREIA (M3)</t>
  </si>
  <si>
    <t>M3 DE AREIA POR M2</t>
  </si>
  <si>
    <t>DIMENSÕES</t>
  </si>
  <si>
    <t>QUADRA</t>
  </si>
  <si>
    <t>GRAMA</t>
  </si>
  <si>
    <t>28,5x44</t>
  </si>
  <si>
    <t>26,5x42</t>
  </si>
  <si>
    <t>QUADRA MENOR</t>
  </si>
  <si>
    <t>BLOCOS DE CONCRETO PARA BRINQUEDOS</t>
  </si>
  <si>
    <t>VOL</t>
  </si>
  <si>
    <t>APOIO (PARA CONCRETO)</t>
  </si>
  <si>
    <t>Nº DE APOIOS</t>
  </si>
  <si>
    <t>VOL TOTAL</t>
  </si>
  <si>
    <t>TOTAL ESCAVAÇÃO</t>
  </si>
  <si>
    <t>TOTAL CONCRETO</t>
  </si>
  <si>
    <t>Material (R$)</t>
  </si>
  <si>
    <t>Mão de Obra (R$)</t>
  </si>
  <si>
    <t>Total (R$)</t>
  </si>
  <si>
    <t>Mão de obra (R$)</t>
  </si>
  <si>
    <t>PISO DE CONCRETO EM VOLTA DA GRAMA SINTÉTICA</t>
  </si>
  <si>
    <t>BRITAS</t>
  </si>
  <si>
    <t>MEIO FIO</t>
  </si>
  <si>
    <t>PISO INTERTRAVADO</t>
  </si>
  <si>
    <t>SOMA 1</t>
  </si>
  <si>
    <t>SOMA 2</t>
  </si>
  <si>
    <t>ELETRODUTO DN 32 MM (1")</t>
  </si>
  <si>
    <t>ELETRODUTO DN 40 MM (1 1/4")</t>
  </si>
  <si>
    <t>CAIXA ELÉTRICA DE PASSAGEM</t>
  </si>
  <si>
    <t>ELETRODUTO DN 25 MM</t>
  </si>
  <si>
    <t>ESCAVAÇÃO</t>
  </si>
  <si>
    <t>CD</t>
  </si>
  <si>
    <t>POSTE DE ENERGIA MONOFÁSICO</t>
  </si>
  <si>
    <t>CABO DE COBRE 2,5MM2</t>
  </si>
  <si>
    <t>CABO DE COBRE 10MM2</t>
  </si>
  <si>
    <t>LUMINÁRIA</t>
  </si>
  <si>
    <t>OK</t>
  </si>
  <si>
    <t>em vermelho distâncias verticais</t>
  </si>
  <si>
    <t>CALCULO</t>
  </si>
  <si>
    <t>COBRE 2,5MM2</t>
  </si>
  <si>
    <t>Terra</t>
  </si>
  <si>
    <t>Fase</t>
  </si>
  <si>
    <t>Neutro</t>
  </si>
  <si>
    <t>fio</t>
  </si>
  <si>
    <t>circuito 1</t>
  </si>
  <si>
    <t>circuito 2</t>
  </si>
  <si>
    <t>circuito 3</t>
  </si>
  <si>
    <t>DISJUNTOR</t>
  </si>
  <si>
    <t>PROF.</t>
  </si>
  <si>
    <t>LARG.</t>
  </si>
  <si>
    <t>COMP.</t>
  </si>
  <si>
    <t>ÁREA</t>
  </si>
  <si>
    <t>FACE 1</t>
  </si>
  <si>
    <t>FACE 2</t>
  </si>
  <si>
    <t>BASE</t>
  </si>
  <si>
    <t>ALTURA</t>
  </si>
  <si>
    <t xml:space="preserve">FACE 1 </t>
  </si>
  <si>
    <t>MURETA 1X2</t>
  </si>
  <si>
    <t>FORMA</t>
  </si>
  <si>
    <t>ESCAVAÇÃO E CONCRETO</t>
  </si>
  <si>
    <t>CHAPISCO</t>
  </si>
  <si>
    <t>REBOCO</t>
  </si>
  <si>
    <t>SELADOR</t>
  </si>
  <si>
    <t>PINTURA</t>
  </si>
  <si>
    <t>ENCARGOS SOCIAIS NÃO DESONERADOS: 111,10%(HORA) 69,16%(MÊS)</t>
  </si>
  <si>
    <t>VOL.</t>
  </si>
  <si>
    <t>ESCAVAÇÃO MECANIZADA PARA BLOCO DE COROAMENTO OU SAPATA, COM PREVISÃO DE FÔRMA, COM RETROESCAVADEIRA. AF_06/2017</t>
  </si>
  <si>
    <t>FABRICAÇÃO, MONTAGEM E DESMONTAGEM DE FÔRMA PARA BLOCO DE COROAMENTO,EM MADEIRA SERRADA, E=25 MM, 1 UTILIZAÇÃO. AF_06/2017</t>
  </si>
  <si>
    <t>CONCRETAGEM DE BLOCOS DE COROAMENTO E VIGAS BALDRAMES, FCK 30 MPA, COM USO DE BOMBA LANÇAMENTO, ADENSAMENTO E ACABAMENTO. AF_06/2017</t>
  </si>
  <si>
    <t>LASTRO DE CONCRETO MAGRO, APLICADO EM BLOCOS DE COROAMENTO OU SAPATAS. AF_08/2017</t>
  </si>
  <si>
    <t>100897</t>
  </si>
  <si>
    <t>ESTACA ESCAVADA MECANICAMENTE, SEM FLUIDO ESTABILIZANTE, COM 40CM DE D IÂMETRO, CONCRETO LANÇADO POR CAMINHÃO BETONEIRA (EXCLUSIVE MOBILIZAÇÃO E DESMOBILIZAÇÃO). AF_01/2020</t>
  </si>
  <si>
    <t>96521</t>
  </si>
  <si>
    <t>96616</t>
  </si>
  <si>
    <t>96528</t>
  </si>
  <si>
    <t>96557</t>
  </si>
  <si>
    <t>CÁLCULO FUNDAÇÕES</t>
  </si>
  <si>
    <t>VOL. BLOCO (M3)</t>
  </si>
  <si>
    <t>QNT. BLOCOS</t>
  </si>
  <si>
    <t>QNT. ESCAVAÇÃO</t>
  </si>
  <si>
    <t>LASTRO DE CONCRETO (M3)</t>
  </si>
  <si>
    <t>ÁREA TOTAL DE FORMAS (M2)</t>
  </si>
  <si>
    <t>LONGITUDINAL</t>
  </si>
  <si>
    <t>ESTRIBO</t>
  </si>
  <si>
    <t>CA 50 12,5mm</t>
  </si>
  <si>
    <t>CA 60 5mm</t>
  </si>
  <si>
    <t>PARA VIGA BALDRAME</t>
  </si>
  <si>
    <t>VIGAS BALDRAMES</t>
  </si>
  <si>
    <t>COMPRIMENTO TOTAL</t>
  </si>
  <si>
    <t>LARGURA</t>
  </si>
  <si>
    <t>VOLUME TOTAL</t>
  </si>
  <si>
    <t>ÁREA TOTAL (M2)</t>
  </si>
  <si>
    <t>VOLUME TOTAL (M3)</t>
  </si>
  <si>
    <t>ESTRIBO 1</t>
  </si>
  <si>
    <t>ESTRIBO 2</t>
  </si>
  <si>
    <t>COMPRIMENTO DO ESTRIBO</t>
  </si>
  <si>
    <t>QNTD. POR BLOCO</t>
  </si>
  <si>
    <t>QNTD. TOTAL DE BLOCOS</t>
  </si>
  <si>
    <t>COMPRIMENTO TOTAL DE AÇO</t>
  </si>
  <si>
    <t>ARMAÇÃO DE BLOCO, VIGA BALDRAME OU SAPATA UTILIZANDO AÇO CA-50 DE 8 MM - MONTAGEM. AF_06/2017</t>
  </si>
  <si>
    <t>96545</t>
  </si>
  <si>
    <t>AÇO CA 50 8mm  (KG/m)</t>
  </si>
  <si>
    <t>MASSA TOTAL (KG)</t>
  </si>
  <si>
    <t>COMPRIMENTO</t>
  </si>
  <si>
    <t>Nº DE BARRAS</t>
  </si>
  <si>
    <t>CÁLCULO AÇO PARA BLOCOS - estribos</t>
  </si>
  <si>
    <t>ESCAVAÇÃO BLOCOS</t>
  </si>
  <si>
    <t>FORMAS BLOCOS</t>
  </si>
  <si>
    <t>BLOCOS</t>
  </si>
  <si>
    <t>FÔRMAS VIGA BALDRAMES</t>
  </si>
  <si>
    <t>ESCAVAÇÃO VIGAS BALDRAMES</t>
  </si>
  <si>
    <t>AÇO CA 50 12,5mm  (KG/m)</t>
  </si>
  <si>
    <t>ESPAÇO ENTRE ESTRIBOS</t>
  </si>
  <si>
    <t>COMPRIMENTO ESTRIBO</t>
  </si>
  <si>
    <t>CÁLCULO AÇO VIGAS BALDRAME - barras longitudinais</t>
  </si>
  <si>
    <t>CÁLCULO AÇO VIGAS BALDRAME - ESTRIBOS</t>
  </si>
  <si>
    <t>AÇO CA 60 5mm  (KG/m)</t>
  </si>
  <si>
    <t>ESTACAS</t>
  </si>
  <si>
    <t xml:space="preserve">Nº </t>
  </si>
  <si>
    <t>AÇO CA 60 - 5mm</t>
  </si>
  <si>
    <t>AÇO CA 50 - 10mm</t>
  </si>
  <si>
    <t>VOLUME TOTAL PARA CONCRETO</t>
  </si>
  <si>
    <t>LOCAÇÃO DE OBRA</t>
  </si>
  <si>
    <t>99059</t>
  </si>
  <si>
    <t>LOCACAO CONVENCIONAL DE OBRA, UTILIZANDO GABARITO DE TÁBUAS CORRIDAS PONTALETADAS A CADA 2,00M - 2 UTILIZAÇÕES. AF_10/2018</t>
  </si>
  <si>
    <t>QUADRA MAIOR</t>
  </si>
  <si>
    <t>MÉDIA TELHAS</t>
  </si>
  <si>
    <t>INCLINAÇÃO TELHADO</t>
  </si>
  <si>
    <t>COMPRIMENTO ATÉ O CENTRO</t>
  </si>
  <si>
    <t>INCLINAÇÃO</t>
  </si>
  <si>
    <t>COMPRIMENTO DO TELHADO INCLINADO</t>
  </si>
  <si>
    <t>LADO</t>
  </si>
  <si>
    <t>TELHA POR M2</t>
  </si>
  <si>
    <t>AREIA FINA</t>
  </si>
  <si>
    <t>N0</t>
  </si>
  <si>
    <t>N1</t>
  </si>
  <si>
    <t>N2</t>
  </si>
  <si>
    <t>ESPESSURA</t>
  </si>
  <si>
    <t>VOLUME</t>
  </si>
  <si>
    <t>POR M2</t>
  </si>
  <si>
    <t>ok</t>
  </si>
  <si>
    <t>2.4</t>
  </si>
  <si>
    <t>2.5</t>
  </si>
  <si>
    <t>2.6</t>
  </si>
  <si>
    <t>ALAMBRADO</t>
  </si>
  <si>
    <t>PERÍMETRO</t>
  </si>
  <si>
    <t>PORTÃO</t>
  </si>
  <si>
    <t>ÁRAE TOTAL</t>
  </si>
  <si>
    <t>REDE QUADRA</t>
  </si>
  <si>
    <t>Unid.</t>
  </si>
  <si>
    <t>1.1</t>
  </si>
  <si>
    <t>COMPOSIÇÃO</t>
  </si>
  <si>
    <t>01</t>
  </si>
  <si>
    <t>PLACA DE OBRA EM CHAPA DE ACO GALVANIZADO</t>
  </si>
  <si>
    <t>COMPOSIÇÃO 01</t>
  </si>
  <si>
    <t>MAT</t>
  </si>
  <si>
    <t>M.O</t>
  </si>
  <si>
    <t>Unidade de medida:</t>
  </si>
  <si>
    <t>BDI</t>
  </si>
  <si>
    <t>TIPO</t>
  </si>
  <si>
    <t>CÓDIGO</t>
  </si>
  <si>
    <t>DESCRIÇÃO</t>
  </si>
  <si>
    <t>UNIDADE</t>
  </si>
  <si>
    <t>QNTD.</t>
  </si>
  <si>
    <t>CUSTO UNIT.</t>
  </si>
  <si>
    <t>I</t>
  </si>
  <si>
    <t>4417</t>
  </si>
  <si>
    <t>SARRAFO DE MADEIRA NAO APARELHADA *2,5 X 7* CM, MACARANDUBA, ANGELIM OU EQUIVALENTE DA REGIAO</t>
  </si>
  <si>
    <t>4491</t>
  </si>
  <si>
    <t>PONTALETE DE MADEIRA NAO APARELHADA *7,5 X 7,5* CM (3 X 3 ") PINUS, MISTA OU EQUIVALENTE DA REGIAO</t>
  </si>
  <si>
    <t>4813</t>
  </si>
  <si>
    <t>PLACA DE OBRA (PARA CONSTRUCAO CIVIL) EM CHAPA GALVANIZADA *N. 22*, ADESIVADA, DE *2,0 X 1,125* M</t>
  </si>
  <si>
    <t>5075</t>
  </si>
  <si>
    <t>PREGO DE ACO POLIDO COM CABECA 18 X 30 (2 3/4 X 10)</t>
  </si>
  <si>
    <t>C</t>
  </si>
  <si>
    <t>88262</t>
  </si>
  <si>
    <t>CARPINTEIRO DE FORMAS COM ENCARGOS COMPLEMENTARES</t>
  </si>
  <si>
    <t>H</t>
  </si>
  <si>
    <t>88316</t>
  </si>
  <si>
    <t>SERVENTE COM ENCARGOS COMPLEMENTARES</t>
  </si>
  <si>
    <t>94962</t>
  </si>
  <si>
    <t>CONCRETO MAGRO PARA LASTRO, TRAÇO 1:4,5:4,5 (CIMENTO/ AREIA MÉDIA/ BRITA 1)  - PREPARO MECÂNICO COM BETONEIRA 400 L. AF_07/2016</t>
  </si>
  <si>
    <t>TOTAL M2</t>
  </si>
  <si>
    <t>mat</t>
  </si>
  <si>
    <t>mo</t>
  </si>
  <si>
    <t>89512</t>
  </si>
  <si>
    <t>TUBO PVC, SÉRIE R, ÁGUA PLUVIAL, DN 100 MM, FORNECIDO E INSTALADO EM RAMAL DE ENCAMINHAMENTO. AF_12/2014</t>
  </si>
  <si>
    <t>2.11</t>
  </si>
  <si>
    <t>TELHAMENTO COM TELHA E CUMEEIRA DE AÇO/ALUMÍNIO E = 0,5 MM, COM ATÉ 2 ÁGUAS, INCLUSO IÇAMENTO</t>
  </si>
  <si>
    <t>MONTAGEM E FORNECIMENTO DE 16 PILARES PRÉ-FABRICADOS DE CABEÇA SIMPLES 0,25X0,5X8,4M FCK = 30MPA; 4 PILARES PRÉ-FABRICADOS SEM CABEÇA 0,25X0,40X11,2M FCK = 30MPA; 4 PILARES PRÉ-FABRICADOS 0,25X0,40X9,82M FCK = 30MPA; 24 CONES PRÉ-FABRICADOS; 145M LINEARES DE VIGA RESPALDO 0,15X0,30M FCK = 30MPA; 16 VIGAS BRAÇOS PRÉ-FABRICADOS COM SEÇÃO T 0,25X0,50X15M FCK = 30MPA, BEIRAL DE 0,50M. MONTAGEM E FORNECIMENTO DE 990M DE PERFIL METÁLICO 100X40X15X2,65MM GALVANIZADO; PARAFUSOS, EMENDAS E GANCHOS; CORDOALHAS DE CONTRAVENTAMENTO.</t>
  </si>
  <si>
    <t>VOL TOTAL PARA REATERRO</t>
  </si>
  <si>
    <t>VOL. TOTAL DE BLOCOS (M3)</t>
  </si>
  <si>
    <t>VOL. TOTAL ESCAVAÇÃO(M3)</t>
  </si>
  <si>
    <t>93372</t>
  </si>
  <si>
    <t>2.7</t>
  </si>
  <si>
    <t>2.8</t>
  </si>
  <si>
    <t>2.9</t>
  </si>
  <si>
    <t>2.10</t>
  </si>
  <si>
    <t>REATERRO MECANIZADO DE VALA COM ESCAVADEIRA HIDRÁULICA (CAPACIDADE DA CAÇAMBA: 0,8 M³ / POTÊNCIA: 111 HP), LARGURA ATÉ 1,5 M, PROFUNDIDADE DE 4,5 A 6,0 M, COM SOLO DE 1ª CATEGORIA EM LOCAIS COM BAIXO NÍVEL DE INTERFERÊNCIA. AF_04/2016</t>
  </si>
  <si>
    <t>SINAPI - SISTEMA NACIONAL DE PESQUISA DE CUSTOS E ÍNDICES DA CONSTRUÇÃO CIVIL</t>
  </si>
  <si>
    <t>PCI.818.01 - COMPOSIÇÕES ATIVAS ANALÍTICAS COM CUSTO</t>
  </si>
  <si>
    <t>7/ABRANGENCIA: NACIONAL</t>
  </si>
  <si>
    <t>* Composições constantes nos Relatórios publicados de Composições Analíticas para as 27 Unidades da Federação</t>
  </si>
  <si>
    <t xml:space="preserve">PAVILHÃO PARA A EMEI DARCI RIBEIRO </t>
  </si>
  <si>
    <t>PREÇO UNITÁRIO S/BDI</t>
  </si>
  <si>
    <t>PREÇO UNITÁRIO C/BDI</t>
  </si>
  <si>
    <t>PREÇO TOTAL C/ BDI</t>
  </si>
  <si>
    <t>SINAPI DATA BASE - 11/2021 - Sem Desoneração</t>
  </si>
  <si>
    <t>Eng Sérgio Vinícius Noschang - CREA RS152282</t>
  </si>
  <si>
    <t>Taquari, Janeiro de 2022</t>
  </si>
  <si>
    <t xml:space="preserve"> DATA DE PREÇO : 11/2021</t>
  </si>
  <si>
    <t>DATA REFERENCIA TÉCNICA: 14/12/2021</t>
  </si>
  <si>
    <t>CONSTRUÇÃO DE PAVILHÃO PRÉ-MOLDADO PARA ESPAÇO DE ATIVIDADE FÍSICA E LAZER NA EMEI DARCI RIBEIRO</t>
  </si>
</sst>
</file>

<file path=xl/styles.xml><?xml version="1.0" encoding="utf-8"?>
<styleSheet xmlns="http://schemas.openxmlformats.org/spreadsheetml/2006/main">
  <numFmts count="12">
    <numFmt numFmtId="43" formatCode="_-* #,##0.00_-;\-* #,##0.00_-;_-* &quot;-&quot;??_-;_-@_-"/>
    <numFmt numFmtId="164" formatCode="_-* #,##0.00_-;\-* #,##0.00_-;_-* \-??_-;_-@_-"/>
    <numFmt numFmtId="165" formatCode="_(* #,##0.00_);_(* \(#,##0.00\);_(* \-??_);_(@_)"/>
    <numFmt numFmtId="167" formatCode="0.00\ &quot;KG/m²&quot;"/>
    <numFmt numFmtId="168" formatCode="0.00\ &quot;m&quot;"/>
    <numFmt numFmtId="169" formatCode="0.00\ &quot;m²&quot;"/>
    <numFmt numFmtId="170" formatCode="0\ &quot;UN&quot;"/>
    <numFmt numFmtId="171" formatCode="0\ &quot;KG&quot;"/>
    <numFmt numFmtId="172" formatCode="0.00\ &quot;m³&quot;"/>
    <numFmt numFmtId="173" formatCode="0.00\ &quot;KG&quot;"/>
    <numFmt numFmtId="174" formatCode="_(* #,##0.00_);_(* \(#,##0.00\);_(* &quot;-&quot;??_);_(@_)"/>
    <numFmt numFmtId="175" formatCode="_(* #,##0.0000000_);_(* \(#,##0.0000000\);_(* &quot;-&quot;??_);_(@_)"/>
  </numFmts>
  <fonts count="39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8"/>
      <color indexed="54"/>
      <name val="Calibri Light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8"/>
      <color rgb="FFFF0000"/>
      <name val="Arial"/>
      <family val="2"/>
    </font>
    <font>
      <sz val="8"/>
      <color theme="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Arial"/>
      <family val="2"/>
    </font>
    <font>
      <sz val="15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sz val="11"/>
      <color theme="1"/>
      <name val="Arial"/>
      <family val="2"/>
    </font>
    <font>
      <sz val="14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42"/>
      </patternFill>
    </fill>
    <fill>
      <patternFill patternType="solid">
        <fgColor indexed="4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24"/>
        <bgColor indexed="46"/>
      </patternFill>
    </fill>
    <fill>
      <patternFill patternType="solid">
        <fgColor indexed="22"/>
        <bgColor indexed="44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9"/>
        <bgColor indexed="41"/>
      </patternFill>
    </fill>
    <fill>
      <patternFill patternType="solid">
        <fgColor indexed="55"/>
        <bgColor indexed="46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  <fill>
      <patternFill patternType="solid">
        <fgColor indexed="62"/>
        <bgColor indexed="56"/>
      </patternFill>
    </fill>
    <fill>
      <patternFill patternType="solid">
        <fgColor indexed="31"/>
        <bgColor indexed="42"/>
      </patternFill>
    </fill>
    <fill>
      <patternFill patternType="solid">
        <fgColor indexed="23"/>
        <bgColor indexed="55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55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8"/>
      </patternFill>
    </fill>
  </fills>
  <borders count="1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theme="0" tint="-0.14996795556505021"/>
      </bottom>
      <diagonal/>
    </border>
    <border>
      <left style="thick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auto="1"/>
      </left>
      <right/>
      <top style="thin">
        <color theme="0" tint="-0.1499679555650502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 diagonalDown="1"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n">
        <color indexed="64"/>
      </right>
      <top style="thick">
        <color theme="3"/>
      </top>
      <bottom/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3"/>
      </bottom>
      <diagonal/>
    </border>
    <border>
      <left/>
      <right style="thin">
        <color indexed="64"/>
      </right>
      <top/>
      <bottom style="thick">
        <color theme="3"/>
      </bottom>
      <diagonal/>
    </border>
    <border>
      <left style="thin">
        <color indexed="64"/>
      </left>
      <right/>
      <top style="thick">
        <color theme="3"/>
      </top>
      <bottom style="thick">
        <color theme="3"/>
      </bottom>
      <diagonal/>
    </border>
    <border>
      <left/>
      <right/>
      <top style="thick">
        <color theme="3"/>
      </top>
      <bottom style="thick">
        <color theme="3"/>
      </bottom>
      <diagonal/>
    </border>
    <border>
      <left/>
      <right style="thin">
        <color indexed="64"/>
      </right>
      <top style="thick">
        <color theme="3"/>
      </top>
      <bottom style="thick">
        <color theme="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12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3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4" fillId="2" borderId="0" applyNumberFormat="0" applyBorder="0" applyAlignment="0" applyProtection="0"/>
    <xf numFmtId="0" fontId="5" fillId="11" borderId="1" applyNumberFormat="0" applyAlignment="0" applyProtection="0"/>
    <xf numFmtId="0" fontId="6" fillId="12" borderId="2" applyNumberFormat="0" applyAlignment="0" applyProtection="0"/>
    <xf numFmtId="0" fontId="7" fillId="0" borderId="3" applyNumberFormat="0" applyFill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8" fillId="3" borderId="1" applyNumberFormat="0" applyAlignment="0" applyProtection="0"/>
    <xf numFmtId="0" fontId="1" fillId="0" borderId="0"/>
    <xf numFmtId="0" fontId="2" fillId="0" borderId="0"/>
    <xf numFmtId="0" fontId="1" fillId="5" borderId="4" applyNumberFormat="0" applyAlignment="0" applyProtection="0"/>
    <xf numFmtId="9" fontId="1" fillId="0" borderId="0" applyFill="0" applyBorder="0" applyAlignment="0" applyProtection="0"/>
    <xf numFmtId="0" fontId="9" fillId="11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2" fillId="0" borderId="9" applyNumberFormat="0" applyFill="0" applyAlignment="0" applyProtection="0"/>
    <xf numFmtId="164" fontId="1" fillId="0" borderId="0" applyFill="0" applyBorder="0" applyAlignment="0" applyProtection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3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4" fillId="2" borderId="0" applyNumberFormat="0" applyBorder="0" applyAlignment="0" applyProtection="0"/>
    <xf numFmtId="0" fontId="5" fillId="11" borderId="1" applyNumberFormat="0" applyAlignment="0" applyProtection="0"/>
    <xf numFmtId="0" fontId="6" fillId="12" borderId="2" applyNumberFormat="0" applyAlignment="0" applyProtection="0"/>
    <xf numFmtId="0" fontId="7" fillId="0" borderId="3" applyNumberFormat="0" applyFill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8" fillId="3" borderId="1" applyNumberFormat="0" applyAlignment="0" applyProtection="0"/>
    <xf numFmtId="0" fontId="1" fillId="0" borderId="0"/>
    <xf numFmtId="0" fontId="1" fillId="5" borderId="4" applyNumberFormat="0" applyAlignment="0" applyProtection="0"/>
    <xf numFmtId="9" fontId="1" fillId="0" borderId="0" applyFill="0" applyBorder="0" applyAlignment="0" applyProtection="0"/>
    <xf numFmtId="0" fontId="9" fillId="11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2" fillId="0" borderId="9" applyNumberFormat="0" applyFill="0" applyAlignment="0" applyProtection="0"/>
    <xf numFmtId="165" fontId="1" fillId="0" borderId="0" applyFill="0" applyBorder="0" applyAlignment="0" applyProtection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3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4" fillId="2" borderId="0" applyNumberFormat="0" applyBorder="0" applyAlignment="0" applyProtection="0"/>
    <xf numFmtId="0" fontId="5" fillId="11" borderId="1" applyNumberFormat="0" applyAlignment="0" applyProtection="0"/>
    <xf numFmtId="0" fontId="6" fillId="12" borderId="2" applyNumberFormat="0" applyAlignment="0" applyProtection="0"/>
    <xf numFmtId="0" fontId="7" fillId="0" borderId="3" applyNumberFormat="0" applyFill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8" fillId="3" borderId="1" applyNumberFormat="0" applyAlignment="0" applyProtection="0"/>
    <xf numFmtId="0" fontId="1" fillId="0" borderId="0"/>
    <xf numFmtId="0" fontId="1" fillId="5" borderId="4" applyNumberFormat="0" applyAlignment="0" applyProtection="0"/>
    <xf numFmtId="9" fontId="1" fillId="0" borderId="0" applyFill="0" applyBorder="0" applyAlignment="0" applyProtection="0"/>
    <xf numFmtId="0" fontId="9" fillId="11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1" fillId="0" borderId="0" applyFont="0" applyFill="0" applyBorder="0" applyAlignment="0" applyProtection="0"/>
    <xf numFmtId="0" fontId="36" fillId="0" borderId="0"/>
  </cellStyleXfs>
  <cellXfs count="386">
    <xf numFmtId="0" fontId="0" fillId="0" borderId="0" xfId="0"/>
    <xf numFmtId="0" fontId="17" fillId="0" borderId="11" xfId="44" applyFont="1" applyBorder="1" applyAlignment="1" applyProtection="1">
      <alignment horizontal="center" vertical="center" wrapText="1"/>
    </xf>
    <xf numFmtId="0" fontId="17" fillId="0" borderId="12" xfId="44" applyFont="1" applyBorder="1" applyAlignment="1" applyProtection="1">
      <alignment horizontal="center" vertical="center" wrapText="1"/>
    </xf>
    <xf numFmtId="4" fontId="0" fillId="0" borderId="0" xfId="0" applyNumberFormat="1"/>
    <xf numFmtId="4" fontId="17" fillId="0" borderId="12" xfId="44" applyNumberFormat="1" applyFont="1" applyBorder="1" applyAlignment="1" applyProtection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1" fillId="19" borderId="16" xfId="44" applyNumberFormat="1" applyFont="1" applyFill="1" applyBorder="1" applyAlignment="1">
      <alignment vertical="center" wrapText="1" shrinkToFit="1"/>
    </xf>
    <xf numFmtId="49" fontId="1" fillId="16" borderId="15" xfId="44" applyNumberFormat="1" applyFont="1" applyFill="1" applyBorder="1" applyAlignment="1" applyProtection="1">
      <alignment horizontal="center" vertical="center" wrapText="1"/>
      <protection locked="0"/>
    </xf>
    <xf numFmtId="49" fontId="1" fillId="6" borderId="15" xfId="44" applyNumberFormat="1" applyFont="1" applyFill="1" applyBorder="1" applyAlignment="1" applyProtection="1">
      <alignment horizontal="center" vertical="center" wrapText="1"/>
      <protection locked="0"/>
    </xf>
    <xf numFmtId="0" fontId="1" fillId="6" borderId="15" xfId="44" applyNumberFormat="1" applyFont="1" applyFill="1" applyBorder="1" applyAlignment="1" applyProtection="1">
      <alignment horizontal="left" vertical="center" wrapText="1"/>
      <protection locked="0"/>
    </xf>
    <xf numFmtId="0" fontId="0" fillId="0" borderId="18" xfId="0" applyBorder="1"/>
    <xf numFmtId="1" fontId="0" fillId="0" borderId="0" xfId="0" applyNumberFormat="1"/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0" borderId="20" xfId="0" applyFill="1" applyBorder="1" applyAlignment="1">
      <alignment horizontal="center" vertical="center" wrapText="1"/>
    </xf>
    <xf numFmtId="0" fontId="0" fillId="20" borderId="13" xfId="0" applyFill="1" applyBorder="1" applyAlignment="1">
      <alignment horizontal="center" vertical="center"/>
    </xf>
    <xf numFmtId="172" fontId="0" fillId="20" borderId="14" xfId="0" applyNumberFormat="1" applyFill="1" applyBorder="1" applyAlignment="1">
      <alignment horizontal="center" vertical="center"/>
    </xf>
    <xf numFmtId="168" fontId="0" fillId="20" borderId="19" xfId="0" applyNumberFormat="1" applyFill="1" applyBorder="1" applyAlignment="1">
      <alignment horizontal="center"/>
    </xf>
    <xf numFmtId="168" fontId="0" fillId="0" borderId="0" xfId="0" applyNumberFormat="1" applyFill="1" applyBorder="1" applyAlignment="1">
      <alignment horizontal="right"/>
    </xf>
    <xf numFmtId="0" fontId="0" fillId="0" borderId="18" xfId="0" applyBorder="1" applyAlignment="1">
      <alignment horizontal="left" vertical="center"/>
    </xf>
    <xf numFmtId="170" fontId="0" fillId="0" borderId="18" xfId="0" applyNumberFormat="1" applyBorder="1" applyAlignment="1">
      <alignment horizontal="center" vertical="center"/>
    </xf>
    <xf numFmtId="168" fontId="0" fillId="20" borderId="18" xfId="0" applyNumberFormat="1" applyFill="1" applyBorder="1" applyAlignment="1">
      <alignment horizontal="center"/>
    </xf>
    <xf numFmtId="173" fontId="0" fillId="0" borderId="18" xfId="0" applyNumberFormat="1" applyBorder="1" applyAlignment="1">
      <alignment horizontal="center" vertical="center"/>
    </xf>
    <xf numFmtId="168" fontId="0" fillId="0" borderId="18" xfId="0" applyNumberFormat="1" applyBorder="1" applyAlignment="1">
      <alignment horizontal="center" vertical="center"/>
    </xf>
    <xf numFmtId="168" fontId="0" fillId="20" borderId="19" xfId="0" applyNumberFormat="1" applyFill="1" applyBorder="1" applyAlignment="1">
      <alignment horizontal="center" vertical="center"/>
    </xf>
    <xf numFmtId="169" fontId="0" fillId="0" borderId="18" xfId="0" applyNumberFormat="1" applyBorder="1" applyAlignment="1">
      <alignment horizontal="center" vertical="center"/>
    </xf>
    <xf numFmtId="0" fontId="25" fillId="0" borderId="18" xfId="0" applyFont="1" applyBorder="1" applyAlignment="1">
      <alignment horizontal="center"/>
    </xf>
    <xf numFmtId="0" fontId="0" fillId="20" borderId="26" xfId="0" applyFill="1" applyBorder="1" applyAlignment="1">
      <alignment horizontal="center" vertical="center"/>
    </xf>
    <xf numFmtId="169" fontId="0" fillId="20" borderId="27" xfId="0" applyNumberFormat="1" applyFill="1" applyBorder="1" applyAlignment="1">
      <alignment horizontal="right"/>
    </xf>
    <xf numFmtId="0" fontId="0" fillId="0" borderId="28" xfId="0" applyBorder="1" applyAlignment="1">
      <alignment horizontal="center"/>
    </xf>
    <xf numFmtId="168" fontId="0" fillId="20" borderId="30" xfId="0" applyNumberFormat="1" applyFill="1" applyBorder="1" applyAlignment="1">
      <alignment horizontal="right"/>
    </xf>
    <xf numFmtId="167" fontId="0" fillId="20" borderId="27" xfId="0" applyNumberFormat="1" applyFill="1" applyBorder="1" applyAlignment="1">
      <alignment horizontal="right"/>
    </xf>
    <xf numFmtId="0" fontId="0" fillId="20" borderId="26" xfId="0" applyFill="1" applyBorder="1" applyAlignment="1">
      <alignment horizontal="center" vertical="center" wrapText="1"/>
    </xf>
    <xf numFmtId="0" fontId="0" fillId="20" borderId="26" xfId="0" applyFill="1" applyBorder="1"/>
    <xf numFmtId="169" fontId="0" fillId="20" borderId="27" xfId="0" applyNumberFormat="1" applyFill="1" applyBorder="1"/>
    <xf numFmtId="0" fontId="0" fillId="20" borderId="26" xfId="0" applyFill="1" applyBorder="1" applyAlignment="1">
      <alignment wrapText="1"/>
    </xf>
    <xf numFmtId="0" fontId="0" fillId="20" borderId="28" xfId="0" applyFill="1" applyBorder="1" applyAlignment="1">
      <alignment wrapText="1"/>
    </xf>
    <xf numFmtId="169" fontId="0" fillId="20" borderId="29" xfId="0" applyNumberFormat="1" applyFill="1" applyBorder="1"/>
    <xf numFmtId="0" fontId="0" fillId="20" borderId="31" xfId="0" applyFill="1" applyBorder="1"/>
    <xf numFmtId="169" fontId="0" fillId="20" borderId="32" xfId="0" applyNumberFormat="1" applyFill="1" applyBorder="1"/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9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171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vertical="center" wrapText="1"/>
    </xf>
    <xf numFmtId="0" fontId="0" fillId="0" borderId="26" xfId="0" applyBorder="1"/>
    <xf numFmtId="0" fontId="0" fillId="0" borderId="28" xfId="0" applyBorder="1"/>
    <xf numFmtId="0" fontId="0" fillId="20" borderId="35" xfId="0" applyFill="1" applyBorder="1"/>
    <xf numFmtId="0" fontId="0" fillId="20" borderId="28" xfId="0" applyFill="1" applyBorder="1"/>
    <xf numFmtId="0" fontId="0" fillId="20" borderId="36" xfId="0" applyFill="1" applyBorder="1"/>
    <xf numFmtId="0" fontId="0" fillId="20" borderId="10" xfId="0" applyFill="1" applyBorder="1"/>
    <xf numFmtId="172" fontId="0" fillId="20" borderId="29" xfId="0" applyNumberFormat="1" applyFill="1" applyBorder="1"/>
    <xf numFmtId="0" fontId="0" fillId="0" borderId="33" xfId="0" applyBorder="1"/>
    <xf numFmtId="172" fontId="0" fillId="0" borderId="34" xfId="0" applyNumberFormat="1" applyBorder="1"/>
    <xf numFmtId="172" fontId="0" fillId="0" borderId="27" xfId="0" applyNumberFormat="1" applyBorder="1"/>
    <xf numFmtId="172" fontId="0" fillId="0" borderId="29" xfId="0" applyNumberFormat="1" applyBorder="1"/>
    <xf numFmtId="0" fontId="28" fillId="21" borderId="40" xfId="0" applyFont="1" applyFill="1" applyBorder="1"/>
    <xf numFmtId="0" fontId="28" fillId="21" borderId="41" xfId="0" applyFont="1" applyFill="1" applyBorder="1" applyAlignment="1">
      <alignment horizontal="center"/>
    </xf>
    <xf numFmtId="0" fontId="28" fillId="21" borderId="42" xfId="0" applyFont="1" applyFill="1" applyBorder="1" applyAlignment="1">
      <alignment horizontal="center"/>
    </xf>
    <xf numFmtId="0" fontId="28" fillId="21" borderId="43" xfId="0" applyFont="1" applyFill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20" borderId="45" xfId="0" applyFill="1" applyBorder="1"/>
    <xf numFmtId="0" fontId="0" fillId="20" borderId="46" xfId="0" applyFill="1" applyBorder="1"/>
    <xf numFmtId="43" fontId="0" fillId="0" borderId="0" xfId="0" applyNumberFormat="1"/>
    <xf numFmtId="4" fontId="0" fillId="0" borderId="55" xfId="0" applyNumberFormat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173" fontId="0" fillId="21" borderId="29" xfId="0" applyNumberFormat="1" applyFill="1" applyBorder="1" applyAlignment="1">
      <alignment horizontal="right"/>
    </xf>
    <xf numFmtId="0" fontId="0" fillId="0" borderId="53" xfId="0" applyBorder="1" applyAlignment="1">
      <alignment horizontal="center" vertical="center"/>
    </xf>
    <xf numFmtId="169" fontId="0" fillId="20" borderId="53" xfId="0" applyNumberFormat="1" applyFill="1" applyBorder="1"/>
    <xf numFmtId="0" fontId="0" fillId="0" borderId="53" xfId="0" applyBorder="1" applyAlignment="1">
      <alignment horizontal="center" vertical="center" wrapText="1"/>
    </xf>
    <xf numFmtId="172" fontId="0" fillId="0" borderId="53" xfId="0" applyNumberFormat="1" applyBorder="1"/>
    <xf numFmtId="0" fontId="0" fillId="0" borderId="53" xfId="0" applyBorder="1"/>
    <xf numFmtId="0" fontId="0" fillId="0" borderId="52" xfId="0" applyBorder="1"/>
    <xf numFmtId="172" fontId="0" fillId="0" borderId="56" xfId="0" applyNumberFormat="1" applyBorder="1"/>
    <xf numFmtId="0" fontId="19" fillId="20" borderId="0" xfId="0" applyFont="1" applyFill="1"/>
    <xf numFmtId="4" fontId="19" fillId="20" borderId="0" xfId="0" applyNumberFormat="1" applyFont="1" applyFill="1" applyAlignment="1">
      <alignment horizontal="center" vertical="center"/>
    </xf>
    <xf numFmtId="0" fontId="17" fillId="20" borderId="0" xfId="0" applyFont="1" applyFill="1"/>
    <xf numFmtId="0" fontId="22" fillId="20" borderId="0" xfId="0" applyFont="1" applyFill="1"/>
    <xf numFmtId="10" fontId="17" fillId="20" borderId="0" xfId="0" applyNumberFormat="1" applyFont="1" applyFill="1"/>
    <xf numFmtId="0" fontId="19" fillId="20" borderId="0" xfId="0" applyFont="1" applyFill="1" applyAlignment="1">
      <alignment horizontal="center"/>
    </xf>
    <xf numFmtId="0" fontId="0" fillId="0" borderId="56" xfId="0" applyBorder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4" fontId="17" fillId="0" borderId="58" xfId="44" applyNumberFormat="1" applyFont="1" applyBorder="1" applyAlignment="1" applyProtection="1">
      <alignment horizontal="center" vertical="center" wrapText="1"/>
    </xf>
    <xf numFmtId="4" fontId="17" fillId="17" borderId="59" xfId="85" applyNumberFormat="1" applyFont="1" applyFill="1" applyBorder="1" applyAlignment="1" applyProtection="1">
      <alignment horizontal="center" vertical="center" shrinkToFit="1"/>
    </xf>
    <xf numFmtId="4" fontId="17" fillId="19" borderId="60" xfId="85" applyNumberFormat="1" applyFont="1" applyFill="1" applyBorder="1" applyAlignment="1" applyProtection="1">
      <alignment horizontal="center" vertical="center" shrinkToFit="1"/>
    </xf>
    <xf numFmtId="0" fontId="0" fillId="25" borderId="61" xfId="0" applyFill="1" applyBorder="1" applyAlignment="1">
      <alignment horizontal="center" vertical="center"/>
    </xf>
    <xf numFmtId="0" fontId="0" fillId="25" borderId="62" xfId="0" applyFill="1" applyBorder="1" applyAlignment="1">
      <alignment horizontal="center" vertical="center"/>
    </xf>
    <xf numFmtId="0" fontId="0" fillId="25" borderId="63" xfId="0" applyFill="1" applyBorder="1" applyAlignment="1">
      <alignment horizontal="center" vertical="center"/>
    </xf>
    <xf numFmtId="0" fontId="0" fillId="25" borderId="64" xfId="0" applyFill="1" applyBorder="1" applyAlignment="1">
      <alignment horizontal="center" vertical="center"/>
    </xf>
    <xf numFmtId="0" fontId="0" fillId="0" borderId="0" xfId="0" applyAlignment="1"/>
    <xf numFmtId="0" fontId="0" fillId="23" borderId="47" xfId="0" applyFill="1" applyBorder="1" applyAlignment="1">
      <alignment horizontal="center" vertical="center"/>
    </xf>
    <xf numFmtId="0" fontId="0" fillId="23" borderId="49" xfId="0" applyFill="1" applyBorder="1" applyAlignment="1">
      <alignment horizontal="center" vertical="center" wrapText="1"/>
    </xf>
    <xf numFmtId="0" fontId="25" fillId="26" borderId="47" xfId="0" applyFont="1" applyFill="1" applyBorder="1" applyAlignment="1">
      <alignment horizontal="center"/>
    </xf>
    <xf numFmtId="0" fontId="25" fillId="26" borderId="48" xfId="0" applyFont="1" applyFill="1" applyBorder="1" applyAlignment="1">
      <alignment horizontal="center"/>
    </xf>
    <xf numFmtId="0" fontId="0" fillId="23" borderId="62" xfId="0" applyFill="1" applyBorder="1"/>
    <xf numFmtId="2" fontId="0" fillId="23" borderId="64" xfId="0" applyNumberFormat="1" applyFill="1" applyBorder="1"/>
    <xf numFmtId="0" fontId="0" fillId="20" borderId="61" xfId="0" applyFill="1" applyBorder="1"/>
    <xf numFmtId="0" fontId="0" fillId="20" borderId="63" xfId="0" applyFill="1" applyBorder="1"/>
    <xf numFmtId="0" fontId="0" fillId="20" borderId="65" xfId="0" applyFill="1" applyBorder="1"/>
    <xf numFmtId="168" fontId="0" fillId="20" borderId="66" xfId="0" applyNumberFormat="1" applyFill="1" applyBorder="1"/>
    <xf numFmtId="0" fontId="0" fillId="20" borderId="67" xfId="0" applyFill="1" applyBorder="1"/>
    <xf numFmtId="168" fontId="0" fillId="21" borderId="68" xfId="0" applyNumberFormat="1" applyFill="1" applyBorder="1"/>
    <xf numFmtId="0" fontId="0" fillId="20" borderId="69" xfId="0" applyFill="1" applyBorder="1"/>
    <xf numFmtId="168" fontId="0" fillId="20" borderId="70" xfId="0" applyNumberFormat="1" applyFill="1" applyBorder="1"/>
    <xf numFmtId="3" fontId="0" fillId="23" borderId="73" xfId="0" applyNumberFormat="1" applyFill="1" applyBorder="1" applyAlignment="1">
      <alignment horizontal="center"/>
    </xf>
    <xf numFmtId="3" fontId="0" fillId="23" borderId="73" xfId="0" applyNumberFormat="1" applyFill="1" applyBorder="1" applyAlignment="1">
      <alignment horizontal="center" vertical="center"/>
    </xf>
    <xf numFmtId="0" fontId="0" fillId="20" borderId="71" xfId="0" applyFill="1" applyBorder="1" applyAlignment="1">
      <alignment horizontal="center" vertical="center"/>
    </xf>
    <xf numFmtId="3" fontId="0" fillId="20" borderId="72" xfId="0" applyNumberFormat="1" applyFill="1" applyBorder="1" applyAlignment="1">
      <alignment horizontal="center" vertical="center"/>
    </xf>
    <xf numFmtId="0" fontId="0" fillId="20" borderId="72" xfId="0" applyFill="1" applyBorder="1" applyAlignment="1">
      <alignment horizontal="center" vertical="center"/>
    </xf>
    <xf numFmtId="0" fontId="0" fillId="20" borderId="47" xfId="0" applyFill="1" applyBorder="1" applyAlignment="1">
      <alignment horizontal="center" vertical="center" wrapText="1"/>
    </xf>
    <xf numFmtId="0" fontId="0" fillId="20" borderId="48" xfId="0" applyFill="1" applyBorder="1" applyAlignment="1">
      <alignment horizontal="center" vertical="center" wrapText="1"/>
    </xf>
    <xf numFmtId="0" fontId="0" fillId="20" borderId="71" xfId="0" applyFill="1" applyBorder="1" applyAlignment="1">
      <alignment horizontal="center"/>
    </xf>
    <xf numFmtId="3" fontId="0" fillId="20" borderId="72" xfId="0" applyNumberFormat="1" applyFill="1" applyBorder="1" applyAlignment="1">
      <alignment horizontal="center"/>
    </xf>
    <xf numFmtId="0" fontId="0" fillId="20" borderId="72" xfId="0" applyFill="1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0" fillId="23" borderId="75" xfId="0" applyFill="1" applyBorder="1"/>
    <xf numFmtId="0" fontId="0" fillId="23" borderId="75" xfId="0" applyFill="1" applyBorder="1" applyAlignment="1">
      <alignment horizontal="center"/>
    </xf>
    <xf numFmtId="0" fontId="0" fillId="0" borderId="0" xfId="0" applyFill="1" applyAlignment="1"/>
    <xf numFmtId="0" fontId="0" fillId="0" borderId="0" xfId="0" applyFill="1" applyAlignment="1">
      <alignment horizontal="left"/>
    </xf>
    <xf numFmtId="3" fontId="0" fillId="0" borderId="0" xfId="0" applyNumberFormat="1" applyFill="1" applyBorder="1" applyAlignment="1">
      <alignment horizontal="center" vertical="center"/>
    </xf>
    <xf numFmtId="3" fontId="0" fillId="0" borderId="74" xfId="0" applyNumberFormat="1" applyFill="1" applyBorder="1" applyAlignment="1">
      <alignment horizontal="center" vertical="center"/>
    </xf>
    <xf numFmtId="0" fontId="0" fillId="20" borderId="62" xfId="0" applyFill="1" applyBorder="1"/>
    <xf numFmtId="0" fontId="0" fillId="23" borderId="0" xfId="0" applyFill="1"/>
    <xf numFmtId="0" fontId="0" fillId="0" borderId="0" xfId="0" applyAlignment="1">
      <alignment horizontal="center" vertical="center"/>
    </xf>
    <xf numFmtId="0" fontId="0" fillId="20" borderId="77" xfId="0" applyFill="1" applyBorder="1" applyAlignment="1">
      <alignment horizontal="center" vertical="center"/>
    </xf>
    <xf numFmtId="0" fontId="0" fillId="20" borderId="77" xfId="0" applyFill="1" applyBorder="1"/>
    <xf numFmtId="0" fontId="0" fillId="20" borderId="76" xfId="0" applyFill="1" applyBorder="1" applyAlignment="1">
      <alignment horizontal="left"/>
    </xf>
    <xf numFmtId="0" fontId="0" fillId="20" borderId="78" xfId="0" applyFill="1" applyBorder="1" applyAlignment="1">
      <alignment horizontal="center" vertical="center"/>
    </xf>
    <xf numFmtId="0" fontId="0" fillId="20" borderId="76" xfId="0" applyFill="1" applyBorder="1"/>
    <xf numFmtId="0" fontId="1" fillId="0" borderId="76" xfId="44" applyNumberFormat="1" applyFont="1" applyFill="1" applyBorder="1" applyAlignment="1">
      <alignment vertical="center" wrapText="1" shrinkToFit="1"/>
    </xf>
    <xf numFmtId="4" fontId="0" fillId="0" borderId="77" xfId="0" applyNumberFormat="1" applyBorder="1" applyAlignment="1">
      <alignment horizontal="center" vertical="center"/>
    </xf>
    <xf numFmtId="0" fontId="0" fillId="21" borderId="77" xfId="0" applyFill="1" applyBorder="1" applyAlignment="1">
      <alignment horizontal="center" vertical="center"/>
    </xf>
    <xf numFmtId="0" fontId="29" fillId="21" borderId="77" xfId="0" applyFont="1" applyFill="1" applyBorder="1" applyAlignment="1">
      <alignment horizontal="center" vertical="center"/>
    </xf>
    <xf numFmtId="0" fontId="0" fillId="21" borderId="77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25" fillId="0" borderId="78" xfId="0" applyFont="1" applyBorder="1" applyAlignment="1">
      <alignment horizontal="center" vertical="center"/>
    </xf>
    <xf numFmtId="0" fontId="25" fillId="21" borderId="78" xfId="0" applyFont="1" applyFill="1" applyBorder="1" applyAlignment="1">
      <alignment horizontal="center" vertical="center"/>
    </xf>
    <xf numFmtId="0" fontId="0" fillId="21" borderId="78" xfId="0" applyFill="1" applyBorder="1" applyAlignment="1">
      <alignment horizontal="center" vertical="center"/>
    </xf>
    <xf numFmtId="0" fontId="25" fillId="21" borderId="76" xfId="0" applyFont="1" applyFill="1" applyBorder="1" applyAlignment="1">
      <alignment horizontal="center" vertical="center"/>
    </xf>
    <xf numFmtId="0" fontId="0" fillId="21" borderId="76" xfId="0" applyFill="1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25" fillId="21" borderId="82" xfId="0" applyFont="1" applyFill="1" applyBorder="1" applyAlignment="1">
      <alignment horizontal="center" vertical="center"/>
    </xf>
    <xf numFmtId="0" fontId="0" fillId="21" borderId="83" xfId="0" applyFill="1" applyBorder="1" applyAlignment="1">
      <alignment horizontal="center" vertical="center"/>
    </xf>
    <xf numFmtId="0" fontId="25" fillId="0" borderId="83" xfId="0" applyFont="1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25" fillId="21" borderId="83" xfId="0" applyFont="1" applyFill="1" applyBorder="1" applyAlignment="1">
      <alignment horizontal="center" vertical="center"/>
    </xf>
    <xf numFmtId="0" fontId="0" fillId="21" borderId="84" xfId="0" applyFill="1" applyBorder="1" applyAlignment="1">
      <alignment horizontal="center" vertical="center"/>
    </xf>
    <xf numFmtId="0" fontId="1" fillId="6" borderId="79" xfId="44" applyNumberFormat="1" applyFont="1" applyFill="1" applyBorder="1" applyAlignment="1" applyProtection="1">
      <alignment horizontal="center" vertical="center" wrapText="1"/>
      <protection locked="0"/>
    </xf>
    <xf numFmtId="0" fontId="21" fillId="2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5" fontId="30" fillId="24" borderId="85" xfId="85" applyNumberFormat="1" applyFont="1" applyFill="1" applyBorder="1" applyAlignment="1" applyProtection="1">
      <alignment horizontal="center" vertical="center" shrinkToFit="1"/>
    </xf>
    <xf numFmtId="0" fontId="0" fillId="0" borderId="76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1" fillId="16" borderId="86" xfId="44" applyNumberFormat="1" applyFont="1" applyFill="1" applyBorder="1" applyAlignment="1" applyProtection="1">
      <alignment horizontal="center" vertical="center" wrapText="1"/>
      <protection locked="0"/>
    </xf>
    <xf numFmtId="49" fontId="1" fillId="6" borderId="86" xfId="44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8" xfId="0" applyBorder="1"/>
    <xf numFmtId="2" fontId="0" fillId="0" borderId="78" xfId="0" applyNumberFormat="1" applyBorder="1"/>
    <xf numFmtId="0" fontId="0" fillId="0" borderId="76" xfId="0" applyBorder="1"/>
    <xf numFmtId="0" fontId="0" fillId="0" borderId="79" xfId="0" applyBorder="1"/>
    <xf numFmtId="2" fontId="0" fillId="19" borderId="78" xfId="0" applyNumberFormat="1" applyFill="1" applyBorder="1"/>
    <xf numFmtId="0" fontId="0" fillId="19" borderId="78" xfId="0" applyFill="1" applyBorder="1"/>
    <xf numFmtId="0" fontId="0" fillId="0" borderId="0" xfId="0" applyAlignment="1">
      <alignment wrapText="1"/>
    </xf>
    <xf numFmtId="0" fontId="0" fillId="0" borderId="78" xfId="0" applyBorder="1" applyAlignment="1">
      <alignment horizontal="center" vertical="center" wrapText="1"/>
    </xf>
    <xf numFmtId="0" fontId="0" fillId="0" borderId="76" xfId="0" applyBorder="1" applyAlignment="1"/>
    <xf numFmtId="0" fontId="0" fillId="0" borderId="79" xfId="0" applyBorder="1" applyAlignment="1"/>
    <xf numFmtId="0" fontId="0" fillId="0" borderId="78" xfId="0" applyBorder="1" applyAlignment="1">
      <alignment wrapText="1"/>
    </xf>
    <xf numFmtId="0" fontId="0" fillId="19" borderId="78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5" fillId="0" borderId="0" xfId="0" applyFont="1" applyBorder="1" applyAlignment="1">
      <alignment vertical="center"/>
    </xf>
    <xf numFmtId="0" fontId="25" fillId="0" borderId="0" xfId="0" applyFont="1" applyBorder="1" applyAlignment="1"/>
    <xf numFmtId="0" fontId="0" fillId="0" borderId="0" xfId="0" applyAlignment="1">
      <alignment horizontal="right"/>
    </xf>
    <xf numFmtId="0" fontId="0" fillId="0" borderId="20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19" borderId="81" xfId="0" applyFill="1" applyBorder="1" applyAlignment="1">
      <alignment horizontal="center" vertical="center"/>
    </xf>
    <xf numFmtId="168" fontId="0" fillId="0" borderId="0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2" fontId="0" fillId="23" borderId="50" xfId="0" applyNumberFormat="1" applyFill="1" applyBorder="1" applyAlignment="1">
      <alignment horizontal="center" vertical="center"/>
    </xf>
    <xf numFmtId="169" fontId="0" fillId="23" borderId="48" xfId="0" applyNumberForma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2" fontId="0" fillId="0" borderId="0" xfId="0" applyNumberFormat="1"/>
    <xf numFmtId="10" fontId="0" fillId="0" borderId="0" xfId="0" applyNumberFormat="1"/>
    <xf numFmtId="0" fontId="0" fillId="0" borderId="0" xfId="0" applyAlignment="1">
      <alignment horizontal="center" vertical="center" wrapText="1"/>
    </xf>
    <xf numFmtId="4" fontId="0" fillId="0" borderId="86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Fill="1" applyBorder="1"/>
    <xf numFmtId="2" fontId="0" fillId="0" borderId="0" xfId="0" applyNumberFormat="1" applyAlignment="1">
      <alignment horizontal="center" vertical="center"/>
    </xf>
    <xf numFmtId="0" fontId="0" fillId="0" borderId="92" xfId="0" applyBorder="1" applyAlignment="1">
      <alignment horizontal="center"/>
    </xf>
    <xf numFmtId="0" fontId="0" fillId="0" borderId="93" xfId="0" applyBorder="1" applyAlignment="1">
      <alignment horizontal="center"/>
    </xf>
    <xf numFmtId="0" fontId="0" fillId="0" borderId="94" xfId="0" applyBorder="1" applyAlignment="1">
      <alignment horizontal="center"/>
    </xf>
    <xf numFmtId="0" fontId="0" fillId="20" borderId="61" xfId="0" applyFill="1" applyBorder="1" applyAlignment="1">
      <alignment horizontal="center"/>
    </xf>
    <xf numFmtId="0" fontId="0" fillId="20" borderId="78" xfId="0" applyFill="1" applyBorder="1" applyAlignment="1">
      <alignment horizontal="center"/>
    </xf>
    <xf numFmtId="0" fontId="0" fillId="20" borderId="95" xfId="0" applyFill="1" applyBorder="1" applyAlignment="1">
      <alignment horizontal="center"/>
    </xf>
    <xf numFmtId="0" fontId="0" fillId="20" borderId="96" xfId="0" applyFill="1" applyBorder="1" applyAlignment="1">
      <alignment horizontal="center"/>
    </xf>
    <xf numFmtId="2" fontId="0" fillId="0" borderId="33" xfId="0" applyNumberFormat="1" applyBorder="1"/>
    <xf numFmtId="2" fontId="0" fillId="0" borderId="65" xfId="0" applyNumberFormat="1" applyBorder="1"/>
    <xf numFmtId="2" fontId="0" fillId="0" borderId="67" xfId="0" applyNumberFormat="1" applyBorder="1"/>
    <xf numFmtId="4" fontId="0" fillId="19" borderId="55" xfId="0" applyNumberFormat="1" applyFill="1" applyBorder="1" applyAlignment="1">
      <alignment horizontal="center" vertical="center"/>
    </xf>
    <xf numFmtId="4" fontId="0" fillId="0" borderId="101" xfId="0" applyNumberFormat="1" applyBorder="1" applyAlignment="1">
      <alignment horizontal="center" vertical="center"/>
    </xf>
    <xf numFmtId="4" fontId="0" fillId="19" borderId="101" xfId="0" applyNumberFormat="1" applyFill="1" applyBorder="1" applyAlignment="1">
      <alignment horizontal="center" vertical="center"/>
    </xf>
    <xf numFmtId="4" fontId="17" fillId="0" borderId="102" xfId="44" applyNumberFormat="1" applyFont="1" applyBorder="1" applyAlignment="1" applyProtection="1">
      <alignment horizontal="center" vertical="center" wrapText="1"/>
    </xf>
    <xf numFmtId="4" fontId="0" fillId="0" borderId="103" xfId="0" applyNumberFormat="1" applyBorder="1" applyAlignment="1">
      <alignment horizontal="center" vertical="center"/>
    </xf>
    <xf numFmtId="4" fontId="0" fillId="19" borderId="104" xfId="0" applyNumberFormat="1" applyFill="1" applyBorder="1" applyAlignment="1">
      <alignment horizontal="center" vertical="center"/>
    </xf>
    <xf numFmtId="4" fontId="22" fillId="20" borderId="0" xfId="0" applyNumberFormat="1" applyFont="1" applyFill="1" applyAlignment="1">
      <alignment horizontal="center" vertical="center"/>
    </xf>
    <xf numFmtId="4" fontId="21" fillId="20" borderId="0" xfId="0" applyNumberFormat="1" applyFont="1" applyFill="1" applyAlignment="1">
      <alignment horizontal="center" vertical="center"/>
    </xf>
    <xf numFmtId="4" fontId="17" fillId="20" borderId="0" xfId="0" applyNumberFormat="1" applyFont="1" applyFill="1" applyAlignment="1">
      <alignment horizontal="center" vertical="center"/>
    </xf>
    <xf numFmtId="4" fontId="0" fillId="0" borderId="100" xfId="0" applyNumberForma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4" fontId="23" fillId="0" borderId="0" xfId="0" applyNumberFormat="1" applyFont="1" applyBorder="1" applyAlignment="1">
      <alignment horizontal="center" vertical="center"/>
    </xf>
    <xf numFmtId="10" fontId="17" fillId="20" borderId="0" xfId="0" applyNumberFormat="1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25" fillId="21" borderId="0" xfId="0" applyFont="1" applyFill="1" applyBorder="1" applyAlignment="1">
      <alignment horizontal="center" vertical="center"/>
    </xf>
    <xf numFmtId="4" fontId="23" fillId="0" borderId="0" xfId="0" applyNumberFormat="1" applyFont="1" applyBorder="1"/>
    <xf numFmtId="0" fontId="17" fillId="0" borderId="105" xfId="44" applyFont="1" applyBorder="1" applyAlignment="1" applyProtection="1">
      <alignment horizontal="center" vertical="center" wrapText="1"/>
    </xf>
    <xf numFmtId="165" fontId="17" fillId="19" borderId="106" xfId="85" applyNumberFormat="1" applyFont="1" applyFill="1" applyBorder="1" applyAlignment="1" applyProtection="1">
      <alignment horizontal="left" vertical="center" shrinkToFit="1"/>
    </xf>
    <xf numFmtId="165" fontId="1" fillId="6" borderId="56" xfId="85" applyFont="1" applyFill="1" applyBorder="1" applyAlignment="1" applyProtection="1">
      <alignment vertical="center" wrapText="1"/>
      <protection locked="0"/>
    </xf>
    <xf numFmtId="4" fontId="17" fillId="0" borderId="107" xfId="44" applyNumberFormat="1" applyFont="1" applyBorder="1" applyAlignment="1" applyProtection="1">
      <alignment horizontal="center" vertical="center" wrapText="1"/>
    </xf>
    <xf numFmtId="0" fontId="1" fillId="0" borderId="52" xfId="44" applyNumberFormat="1" applyFont="1" applyFill="1" applyBorder="1" applyAlignment="1">
      <alignment vertical="center" wrapText="1" shrinkToFit="1"/>
    </xf>
    <xf numFmtId="0" fontId="1" fillId="6" borderId="56" xfId="44" applyNumberFormat="1" applyFont="1" applyFill="1" applyBorder="1" applyAlignment="1" applyProtection="1">
      <alignment horizontal="center" vertical="center" wrapText="1"/>
      <protection locked="0"/>
    </xf>
    <xf numFmtId="0" fontId="1" fillId="6" borderId="86" xfId="44" applyNumberFormat="1" applyFont="1" applyFill="1" applyBorder="1" applyAlignment="1" applyProtection="1">
      <alignment horizontal="left" vertical="center" wrapText="1"/>
      <protection locked="0"/>
    </xf>
    <xf numFmtId="0" fontId="20" fillId="19" borderId="112" xfId="0" applyFont="1" applyFill="1" applyBorder="1" applyAlignment="1">
      <alignment vertical="center"/>
    </xf>
    <xf numFmtId="2" fontId="20" fillId="19" borderId="112" xfId="0" applyNumberFormat="1" applyFont="1" applyFill="1" applyBorder="1" applyAlignment="1">
      <alignment vertical="center"/>
    </xf>
    <xf numFmtId="0" fontId="20" fillId="19" borderId="0" xfId="0" applyFont="1" applyFill="1" applyBorder="1" applyAlignment="1">
      <alignment vertical="center"/>
    </xf>
    <xf numFmtId="2" fontId="20" fillId="19" borderId="0" xfId="0" applyNumberFormat="1" applyFont="1" applyFill="1" applyBorder="1" applyAlignment="1">
      <alignment vertical="center"/>
    </xf>
    <xf numFmtId="0" fontId="20" fillId="21" borderId="114" xfId="0" applyFont="1" applyFill="1" applyBorder="1" applyAlignment="1">
      <alignment horizontal="center" vertical="center"/>
    </xf>
    <xf numFmtId="0" fontId="20" fillId="21" borderId="0" xfId="0" applyFont="1" applyFill="1" applyBorder="1"/>
    <xf numFmtId="0" fontId="34" fillId="21" borderId="0" xfId="0" applyFont="1" applyFill="1" applyBorder="1"/>
    <xf numFmtId="0" fontId="34" fillId="21" borderId="0" xfId="0" applyFont="1" applyFill="1" applyBorder="1" applyAlignment="1">
      <alignment horizontal="center"/>
    </xf>
    <xf numFmtId="0" fontId="20" fillId="21" borderId="0" xfId="0" applyFont="1" applyFill="1" applyBorder="1" applyAlignment="1">
      <alignment horizontal="left" vertical="center"/>
    </xf>
    <xf numFmtId="10" fontId="34" fillId="21" borderId="0" xfId="0" applyNumberFormat="1" applyFont="1" applyFill="1" applyBorder="1"/>
    <xf numFmtId="0" fontId="34" fillId="21" borderId="21" xfId="0" applyFont="1" applyFill="1" applyBorder="1"/>
    <xf numFmtId="0" fontId="34" fillId="20" borderId="118" xfId="0" applyFont="1" applyFill="1" applyBorder="1" applyAlignment="1">
      <alignment horizontal="center" vertical="center"/>
    </xf>
    <xf numFmtId="49" fontId="1" fillId="16" borderId="56" xfId="44" applyNumberFormat="1" applyFont="1" applyFill="1" applyBorder="1" applyAlignment="1" applyProtection="1">
      <alignment horizontal="center" vertical="center" wrapText="1"/>
      <protection locked="0"/>
    </xf>
    <xf numFmtId="0" fontId="1" fillId="6" borderId="53" xfId="44" applyNumberFormat="1" applyFont="1" applyFill="1" applyBorder="1" applyAlignment="1" applyProtection="1">
      <alignment horizontal="left" vertical="center" wrapText="1"/>
      <protection locked="0"/>
    </xf>
    <xf numFmtId="0" fontId="1" fillId="6" borderId="53" xfId="44" applyNumberFormat="1" applyFont="1" applyFill="1" applyBorder="1" applyAlignment="1" applyProtection="1">
      <alignment horizontal="center" vertical="center" wrapText="1"/>
      <protection locked="0"/>
    </xf>
    <xf numFmtId="2" fontId="35" fillId="0" borderId="53" xfId="0" applyNumberFormat="1" applyFont="1" applyBorder="1" applyAlignment="1">
      <alignment horizontal="center" vertical="center"/>
    </xf>
    <xf numFmtId="0" fontId="35" fillId="0" borderId="53" xfId="0" applyFont="1" applyBorder="1" applyAlignment="1">
      <alignment horizontal="center" vertical="center"/>
    </xf>
    <xf numFmtId="2" fontId="34" fillId="6" borderId="53" xfId="44" applyNumberFormat="1" applyFont="1" applyFill="1" applyBorder="1" applyAlignment="1" applyProtection="1">
      <alignment horizontal="center" vertical="center" wrapText="1"/>
      <protection locked="0"/>
    </xf>
    <xf numFmtId="0" fontId="35" fillId="0" borderId="0" xfId="0" applyFont="1"/>
    <xf numFmtId="0" fontId="20" fillId="20" borderId="109" xfId="0" applyFont="1" applyFill="1" applyBorder="1" applyAlignment="1">
      <alignment horizontal="center" wrapText="1"/>
    </xf>
    <xf numFmtId="174" fontId="20" fillId="19" borderId="110" xfId="127" applyNumberFormat="1" applyFont="1" applyFill="1" applyBorder="1" applyAlignment="1">
      <alignment vertical="center"/>
    </xf>
    <xf numFmtId="0" fontId="37" fillId="0" borderId="126" xfId="0" applyFont="1" applyBorder="1" applyAlignment="1">
      <alignment horizontal="center" vertical="center" wrapText="1"/>
    </xf>
    <xf numFmtId="43" fontId="0" fillId="0" borderId="0" xfId="0" applyNumberFormat="1" applyFill="1" applyAlignment="1"/>
    <xf numFmtId="4" fontId="17" fillId="17" borderId="130" xfId="85" applyNumberFormat="1" applyFont="1" applyFill="1" applyBorder="1" applyAlignment="1" applyProtection="1">
      <alignment horizontal="center" vertical="center" shrinkToFit="1"/>
    </xf>
    <xf numFmtId="4" fontId="0" fillId="0" borderId="0" xfId="0" applyNumberFormat="1" applyBorder="1" applyAlignment="1">
      <alignment horizontal="center" vertical="center"/>
    </xf>
    <xf numFmtId="4" fontId="17" fillId="17" borderId="131" xfId="85" applyNumberFormat="1" applyFont="1" applyFill="1" applyBorder="1" applyAlignment="1" applyProtection="1">
      <alignment horizontal="center" vertical="center" shrinkToFit="1"/>
    </xf>
    <xf numFmtId="4" fontId="17" fillId="19" borderId="132" xfId="85" applyNumberFormat="1" applyFont="1" applyFill="1" applyBorder="1" applyAlignment="1" applyProtection="1">
      <alignment horizontal="center" vertical="center" shrinkToFit="1"/>
    </xf>
    <xf numFmtId="165" fontId="38" fillId="24" borderId="85" xfId="85" applyNumberFormat="1" applyFont="1" applyFill="1" applyBorder="1" applyAlignment="1" applyProtection="1">
      <alignment horizontal="center" vertical="center" shrinkToFit="1"/>
    </xf>
    <xf numFmtId="165" fontId="38" fillId="24" borderId="133" xfId="85" applyNumberFormat="1" applyFont="1" applyFill="1" applyBorder="1" applyAlignment="1" applyProtection="1">
      <alignment horizontal="center" vertical="center" shrinkToFit="1"/>
    </xf>
    <xf numFmtId="4" fontId="17" fillId="17" borderId="108" xfId="85" applyNumberFormat="1" applyFont="1" applyFill="1" applyBorder="1" applyAlignment="1" applyProtection="1">
      <alignment horizontal="right" vertical="center" shrinkToFit="1"/>
    </xf>
    <xf numFmtId="0" fontId="24" fillId="0" borderId="0" xfId="0" applyFont="1" applyAlignment="1">
      <alignment horizontal="center"/>
    </xf>
    <xf numFmtId="0" fontId="17" fillId="20" borderId="52" xfId="0" applyFont="1" applyFill="1" applyBorder="1" applyAlignment="1">
      <alignment horizontal="center" vertical="center"/>
    </xf>
    <xf numFmtId="0" fontId="17" fillId="20" borderId="56" xfId="0" applyFont="1" applyFill="1" applyBorder="1" applyAlignment="1">
      <alignment horizontal="center" vertical="center"/>
    </xf>
    <xf numFmtId="0" fontId="18" fillId="20" borderId="0" xfId="0" applyFont="1" applyFill="1" applyAlignment="1">
      <alignment horizontal="center"/>
    </xf>
    <xf numFmtId="0" fontId="17" fillId="18" borderId="17" xfId="44" applyNumberFormat="1" applyFont="1" applyFill="1" applyBorder="1" applyAlignment="1" applyProtection="1">
      <alignment horizontal="left" vertical="center" wrapText="1"/>
      <protection locked="0"/>
    </xf>
    <xf numFmtId="0" fontId="17" fillId="18" borderId="10" xfId="44" applyNumberFormat="1" applyFont="1" applyFill="1" applyBorder="1" applyAlignment="1" applyProtection="1">
      <alignment horizontal="left" vertical="center" wrapText="1"/>
      <protection locked="0"/>
    </xf>
    <xf numFmtId="0" fontId="18" fillId="20" borderId="0" xfId="0" applyFont="1" applyFill="1" applyAlignment="1">
      <alignment horizontal="left"/>
    </xf>
    <xf numFmtId="0" fontId="17" fillId="20" borderId="0" xfId="0" applyFont="1" applyFill="1" applyAlignment="1">
      <alignment horizontal="left"/>
    </xf>
    <xf numFmtId="0" fontId="17" fillId="20" borderId="51" xfId="0" applyFont="1" applyFill="1" applyBorder="1" applyAlignment="1">
      <alignment horizontal="center" vertical="center"/>
    </xf>
    <xf numFmtId="0" fontId="17" fillId="20" borderId="121" xfId="0" applyFont="1" applyFill="1" applyBorder="1" applyAlignment="1">
      <alignment horizontal="center" vertical="center"/>
    </xf>
    <xf numFmtId="0" fontId="23" fillId="0" borderId="122" xfId="0" applyFont="1" applyBorder="1" applyAlignment="1">
      <alignment horizontal="center" vertical="top" wrapText="1"/>
    </xf>
    <xf numFmtId="0" fontId="23" fillId="0" borderId="0" xfId="0" applyFont="1" applyBorder="1" applyAlignment="1">
      <alignment horizontal="center" vertical="top" wrapText="1"/>
    </xf>
    <xf numFmtId="0" fontId="17" fillId="17" borderId="134" xfId="44" applyNumberFormat="1" applyFont="1" applyFill="1" applyBorder="1" applyAlignment="1" applyProtection="1">
      <alignment horizontal="left" vertical="center" wrapText="1"/>
    </xf>
    <xf numFmtId="0" fontId="17" fillId="17" borderId="135" xfId="44" applyNumberFormat="1" applyFont="1" applyFill="1" applyBorder="1" applyAlignment="1" applyProtection="1">
      <alignment horizontal="left" vertical="center" wrapText="1"/>
    </xf>
    <xf numFmtId="2" fontId="34" fillId="6" borderId="116" xfId="44" applyNumberFormat="1" applyFont="1" applyFill="1" applyBorder="1" applyAlignment="1" applyProtection="1">
      <alignment horizontal="center" vertical="center" wrapText="1"/>
      <protection locked="0"/>
    </xf>
    <xf numFmtId="2" fontId="34" fillId="6" borderId="19" xfId="44" applyNumberFormat="1" applyFont="1" applyFill="1" applyBorder="1" applyAlignment="1" applyProtection="1">
      <alignment horizontal="center" vertical="center" wrapText="1"/>
      <protection locked="0"/>
    </xf>
    <xf numFmtId="49" fontId="20" fillId="19" borderId="111" xfId="0" applyNumberFormat="1" applyFont="1" applyFill="1" applyBorder="1" applyAlignment="1">
      <alignment horizontal="center" vertical="center"/>
    </xf>
    <xf numFmtId="49" fontId="20" fillId="19" borderId="114" xfId="0" applyNumberFormat="1" applyFont="1" applyFill="1" applyBorder="1" applyAlignment="1">
      <alignment horizontal="center" vertical="center"/>
    </xf>
    <xf numFmtId="0" fontId="20" fillId="19" borderId="112" xfId="0" applyFont="1" applyFill="1" applyBorder="1" applyAlignment="1">
      <alignment horizontal="left" vertical="center"/>
    </xf>
    <xf numFmtId="0" fontId="20" fillId="19" borderId="0" xfId="0" applyFont="1" applyFill="1" applyBorder="1" applyAlignment="1">
      <alignment horizontal="left" vertical="center"/>
    </xf>
    <xf numFmtId="174" fontId="33" fillId="19" borderId="113" xfId="0" applyNumberFormat="1" applyFont="1" applyFill="1" applyBorder="1" applyAlignment="1">
      <alignment horizontal="center" vertical="center"/>
    </xf>
    <xf numFmtId="174" fontId="33" fillId="19" borderId="21" xfId="0" applyNumberFormat="1" applyFont="1" applyFill="1" applyBorder="1" applyAlignment="1">
      <alignment horizontal="center" vertical="center"/>
    </xf>
    <xf numFmtId="0" fontId="20" fillId="22" borderId="115" xfId="0" applyFont="1" applyFill="1" applyBorder="1" applyAlignment="1">
      <alignment horizontal="center" vertical="center"/>
    </xf>
    <xf numFmtId="0" fontId="20" fillId="22" borderId="117" xfId="0" applyFont="1" applyFill="1" applyBorder="1" applyAlignment="1">
      <alignment horizontal="center" vertical="center"/>
    </xf>
    <xf numFmtId="0" fontId="20" fillId="22" borderId="116" xfId="0" applyFont="1" applyFill="1" applyBorder="1" applyAlignment="1">
      <alignment horizontal="center" vertical="center"/>
    </xf>
    <xf numFmtId="0" fontId="20" fillId="22" borderId="19" xfId="0" applyFont="1" applyFill="1" applyBorder="1" applyAlignment="1">
      <alignment horizontal="center" vertical="center"/>
    </xf>
    <xf numFmtId="175" fontId="20" fillId="22" borderId="116" xfId="127" applyNumberFormat="1" applyFont="1" applyFill="1" applyBorder="1" applyAlignment="1">
      <alignment horizontal="center" vertical="center"/>
    </xf>
    <xf numFmtId="175" fontId="20" fillId="22" borderId="19" xfId="127" applyNumberFormat="1" applyFont="1" applyFill="1" applyBorder="1" applyAlignment="1">
      <alignment horizontal="center" vertical="center"/>
    </xf>
    <xf numFmtId="0" fontId="34" fillId="20" borderId="116" xfId="0" applyFont="1" applyFill="1" applyBorder="1" applyAlignment="1">
      <alignment horizontal="center" vertical="center"/>
    </xf>
    <xf numFmtId="0" fontId="34" fillId="20" borderId="19" xfId="0" applyFont="1" applyFill="1" applyBorder="1" applyAlignment="1">
      <alignment horizontal="center" vertical="center"/>
    </xf>
    <xf numFmtId="49" fontId="1" fillId="16" borderId="116" xfId="44" applyNumberFormat="1" applyFont="1" applyFill="1" applyBorder="1" applyAlignment="1" applyProtection="1">
      <alignment horizontal="center" vertical="center" wrapText="1"/>
      <protection locked="0"/>
    </xf>
    <xf numFmtId="49" fontId="1" fillId="16" borderId="19" xfId="44" applyNumberFormat="1" applyFont="1" applyFill="1" applyBorder="1" applyAlignment="1" applyProtection="1">
      <alignment horizontal="center" vertical="center" wrapText="1"/>
      <protection locked="0"/>
    </xf>
    <xf numFmtId="0" fontId="1" fillId="6" borderId="116" xfId="44" applyNumberFormat="1" applyFont="1" applyFill="1" applyBorder="1" applyAlignment="1" applyProtection="1">
      <alignment horizontal="left" vertical="center" wrapText="1"/>
      <protection locked="0"/>
    </xf>
    <xf numFmtId="0" fontId="1" fillId="6" borderId="19" xfId="44" applyNumberFormat="1" applyFont="1" applyFill="1" applyBorder="1" applyAlignment="1" applyProtection="1">
      <alignment horizontal="left" vertical="center" wrapText="1"/>
      <protection locked="0"/>
    </xf>
    <xf numFmtId="0" fontId="1" fillId="6" borderId="116" xfId="44" applyNumberFormat="1" applyFont="1" applyFill="1" applyBorder="1" applyAlignment="1" applyProtection="1">
      <alignment horizontal="center" vertical="center" wrapText="1"/>
      <protection locked="0"/>
    </xf>
    <xf numFmtId="0" fontId="1" fillId="6" borderId="19" xfId="44" applyNumberFormat="1" applyFont="1" applyFill="1" applyBorder="1" applyAlignment="1" applyProtection="1">
      <alignment horizontal="center" vertical="center" wrapText="1"/>
      <protection locked="0"/>
    </xf>
    <xf numFmtId="2" fontId="35" fillId="0" borderId="116" xfId="0" applyNumberFormat="1" applyFont="1" applyBorder="1" applyAlignment="1">
      <alignment horizontal="center" vertical="center"/>
    </xf>
    <xf numFmtId="2" fontId="35" fillId="0" borderId="19" xfId="0" applyNumberFormat="1" applyFont="1" applyBorder="1" applyAlignment="1">
      <alignment horizontal="center" vertical="center"/>
    </xf>
    <xf numFmtId="0" fontId="20" fillId="28" borderId="123" xfId="128" applyFont="1" applyFill="1" applyBorder="1" applyAlignment="1">
      <alignment horizontal="center" vertical="center" wrapText="1"/>
    </xf>
    <xf numFmtId="0" fontId="20" fillId="28" borderId="122" xfId="128" applyFont="1" applyFill="1" applyBorder="1" applyAlignment="1">
      <alignment horizontal="center" vertical="center" wrapText="1"/>
    </xf>
    <xf numFmtId="0" fontId="20" fillId="28" borderId="124" xfId="128" applyFont="1" applyFill="1" applyBorder="1" applyAlignment="1">
      <alignment horizontal="center" vertical="center" wrapText="1"/>
    </xf>
    <xf numFmtId="4" fontId="34" fillId="28" borderId="119" xfId="128" applyNumberFormat="1" applyFont="1" applyFill="1" applyBorder="1" applyAlignment="1">
      <alignment horizontal="center" vertical="center" wrapText="1"/>
    </xf>
    <xf numFmtId="4" fontId="34" fillId="28" borderId="0" xfId="128" applyNumberFormat="1" applyFont="1" applyFill="1" applyBorder="1" applyAlignment="1">
      <alignment horizontal="center" vertical="center" wrapText="1"/>
    </xf>
    <xf numFmtId="4" fontId="20" fillId="28" borderId="125" xfId="128" applyNumberFormat="1" applyFont="1" applyFill="1" applyBorder="1" applyAlignment="1">
      <alignment horizontal="center" vertical="center" wrapText="1"/>
    </xf>
    <xf numFmtId="0" fontId="34" fillId="28" borderId="127" xfId="128" applyFont="1" applyFill="1" applyBorder="1" applyAlignment="1">
      <alignment horizontal="center" vertical="center" wrapText="1"/>
    </xf>
    <xf numFmtId="0" fontId="34" fillId="28" borderId="128" xfId="128" applyFont="1" applyFill="1" applyBorder="1" applyAlignment="1">
      <alignment horizontal="center" vertical="center" wrapText="1"/>
    </xf>
    <xf numFmtId="0" fontId="34" fillId="28" borderId="129" xfId="128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19" borderId="78" xfId="0" applyFill="1" applyBorder="1" applyAlignment="1">
      <alignment horizontal="center"/>
    </xf>
    <xf numFmtId="0" fontId="0" fillId="0" borderId="76" xfId="0" applyBorder="1" applyAlignment="1">
      <alignment horizontal="center"/>
    </xf>
    <xf numFmtId="0" fontId="0" fillId="0" borderId="79" xfId="0" applyBorder="1" applyAlignment="1">
      <alignment horizontal="center"/>
    </xf>
    <xf numFmtId="0" fontId="0" fillId="0" borderId="78" xfId="0" applyBorder="1" applyAlignment="1">
      <alignment horizontal="center" vertical="center"/>
    </xf>
    <xf numFmtId="0" fontId="0" fillId="19" borderId="76" xfId="0" applyFill="1" applyBorder="1" applyAlignment="1">
      <alignment horizontal="center"/>
    </xf>
    <xf numFmtId="0" fontId="0" fillId="19" borderId="86" xfId="0" applyFill="1" applyBorder="1" applyAlignment="1">
      <alignment horizontal="center"/>
    </xf>
    <xf numFmtId="0" fontId="0" fillId="19" borderId="79" xfId="0" applyFill="1" applyBorder="1" applyAlignment="1">
      <alignment horizontal="center"/>
    </xf>
    <xf numFmtId="0" fontId="0" fillId="21" borderId="78" xfId="0" applyFill="1" applyBorder="1" applyAlignment="1">
      <alignment horizontal="center" vertical="center" wrapText="1"/>
    </xf>
    <xf numFmtId="0" fontId="0" fillId="20" borderId="78" xfId="0" applyFill="1" applyBorder="1" applyAlignment="1">
      <alignment horizontal="center" vertical="center"/>
    </xf>
    <xf numFmtId="0" fontId="0" fillId="21" borderId="78" xfId="0" applyFill="1" applyBorder="1" applyAlignment="1">
      <alignment horizontal="center" vertical="center"/>
    </xf>
    <xf numFmtId="0" fontId="0" fillId="21" borderId="76" xfId="0" applyFill="1" applyBorder="1" applyAlignment="1">
      <alignment horizontal="center" vertical="center"/>
    </xf>
    <xf numFmtId="0" fontId="0" fillId="21" borderId="77" xfId="0" applyFill="1" applyBorder="1" applyAlignment="1">
      <alignment horizontal="center" vertical="center"/>
    </xf>
    <xf numFmtId="0" fontId="25" fillId="0" borderId="76" xfId="0" applyFont="1" applyBorder="1" applyAlignment="1">
      <alignment horizontal="center" vertical="center"/>
    </xf>
    <xf numFmtId="0" fontId="25" fillId="0" borderId="77" xfId="0" applyFont="1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25" fillId="21" borderId="76" xfId="0" applyFont="1" applyFill="1" applyBorder="1" applyAlignment="1">
      <alignment horizontal="center" vertical="center"/>
    </xf>
    <xf numFmtId="0" fontId="25" fillId="21" borderId="77" xfId="0" applyFont="1" applyFill="1" applyBorder="1" applyAlignment="1">
      <alignment horizontal="center" vertical="center"/>
    </xf>
    <xf numFmtId="0" fontId="0" fillId="25" borderId="47" xfId="0" applyFill="1" applyBorder="1" applyAlignment="1">
      <alignment horizontal="center" vertical="center"/>
    </xf>
    <xf numFmtId="0" fontId="0" fillId="25" borderId="48" xfId="0" applyFill="1" applyBorder="1" applyAlignment="1">
      <alignment horizontal="center" vertical="center"/>
    </xf>
    <xf numFmtId="0" fontId="25" fillId="26" borderId="22" xfId="0" applyFont="1" applyFill="1" applyBorder="1" applyAlignment="1">
      <alignment horizontal="center"/>
    </xf>
    <xf numFmtId="0" fontId="25" fillId="26" borderId="23" xfId="0" applyFont="1" applyFill="1" applyBorder="1" applyAlignment="1">
      <alignment horizontal="center"/>
    </xf>
    <xf numFmtId="0" fontId="0" fillId="20" borderId="26" xfId="0" applyFill="1" applyBorder="1" applyAlignment="1">
      <alignment horizontal="center" vertical="center" wrapText="1"/>
    </xf>
    <xf numFmtId="0" fontId="25" fillId="20" borderId="24" xfId="0" applyFont="1" applyFill="1" applyBorder="1" applyAlignment="1">
      <alignment horizontal="center"/>
    </xf>
    <xf numFmtId="0" fontId="25" fillId="20" borderId="25" xfId="0" applyFont="1" applyFill="1" applyBorder="1" applyAlignment="1">
      <alignment horizontal="center"/>
    </xf>
    <xf numFmtId="0" fontId="25" fillId="0" borderId="22" xfId="0" applyFont="1" applyBorder="1" applyAlignment="1">
      <alignment horizontal="center" wrapText="1"/>
    </xf>
    <xf numFmtId="0" fontId="25" fillId="0" borderId="23" xfId="0" applyFont="1" applyBorder="1" applyAlignment="1">
      <alignment horizontal="center" wrapText="1"/>
    </xf>
    <xf numFmtId="0" fontId="0" fillId="27" borderId="37" xfId="0" applyFill="1" applyBorder="1" applyAlignment="1">
      <alignment horizontal="center"/>
    </xf>
    <xf numFmtId="0" fontId="0" fillId="27" borderId="39" xfId="0" applyFill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27" borderId="47" xfId="0" applyFill="1" applyBorder="1" applyAlignment="1">
      <alignment horizontal="center"/>
    </xf>
    <xf numFmtId="0" fontId="0" fillId="27" borderId="48" xfId="0" applyFill="1" applyBorder="1" applyAlignment="1">
      <alignment horizontal="center"/>
    </xf>
    <xf numFmtId="0" fontId="25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5" fillId="0" borderId="18" xfId="0" applyFont="1" applyBorder="1" applyAlignment="1">
      <alignment horizontal="center"/>
    </xf>
    <xf numFmtId="170" fontId="0" fillId="0" borderId="18" xfId="0" applyNumberFormat="1" applyBorder="1" applyAlignment="1">
      <alignment horizontal="center" vertical="center"/>
    </xf>
    <xf numFmtId="0" fontId="0" fillId="20" borderId="62" xfId="0" applyFill="1" applyBorder="1" applyAlignment="1">
      <alignment horizontal="center"/>
    </xf>
    <xf numFmtId="0" fontId="0" fillId="20" borderId="97" xfId="0" applyFill="1" applyBorder="1" applyAlignment="1">
      <alignment horizontal="center" vertical="center"/>
    </xf>
    <xf numFmtId="0" fontId="0" fillId="20" borderId="98" xfId="0" applyFill="1" applyBorder="1" applyAlignment="1">
      <alignment horizontal="center" vertical="center"/>
    </xf>
    <xf numFmtId="0" fontId="0" fillId="20" borderId="99" xfId="0" applyFill="1" applyBorder="1" applyAlignment="1">
      <alignment horizontal="center" vertical="center"/>
    </xf>
    <xf numFmtId="0" fontId="25" fillId="26" borderId="37" xfId="0" applyFont="1" applyFill="1" applyBorder="1" applyAlignment="1">
      <alignment horizontal="center" vertical="center"/>
    </xf>
    <xf numFmtId="0" fontId="25" fillId="26" borderId="39" xfId="0" applyFont="1" applyFill="1" applyBorder="1" applyAlignment="1">
      <alignment horizontal="center" vertical="center"/>
    </xf>
    <xf numFmtId="0" fontId="0" fillId="20" borderId="13" xfId="0" applyFill="1" applyBorder="1" applyAlignment="1">
      <alignment horizontal="center" vertical="center"/>
    </xf>
    <xf numFmtId="0" fontId="0" fillId="20" borderId="14" xfId="0" applyFill="1" applyBorder="1" applyAlignment="1">
      <alignment horizontal="center" vertical="center"/>
    </xf>
    <xf numFmtId="0" fontId="25" fillId="26" borderId="37" xfId="0" applyFont="1" applyFill="1" applyBorder="1" applyAlignment="1">
      <alignment horizontal="center"/>
    </xf>
    <xf numFmtId="0" fontId="25" fillId="26" borderId="38" xfId="0" applyFont="1" applyFill="1" applyBorder="1" applyAlignment="1">
      <alignment horizontal="center"/>
    </xf>
    <xf numFmtId="0" fontId="25" fillId="26" borderId="39" xfId="0" applyFont="1" applyFill="1" applyBorder="1" applyAlignment="1">
      <alignment horizontal="center"/>
    </xf>
    <xf numFmtId="0" fontId="25" fillId="26" borderId="3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0" borderId="71" xfId="0" applyFill="1" applyBorder="1" applyAlignment="1">
      <alignment horizontal="center" vertical="center"/>
    </xf>
    <xf numFmtId="0" fontId="0" fillId="20" borderId="72" xfId="0" applyFill="1" applyBorder="1" applyAlignment="1">
      <alignment horizontal="center" vertical="center"/>
    </xf>
    <xf numFmtId="0" fontId="0" fillId="27" borderId="37" xfId="0" applyFill="1" applyBorder="1" applyAlignment="1">
      <alignment horizontal="center" vertical="center"/>
    </xf>
    <xf numFmtId="0" fontId="0" fillId="27" borderId="39" xfId="0" applyFill="1" applyBorder="1" applyAlignment="1">
      <alignment horizontal="center" vertical="center"/>
    </xf>
    <xf numFmtId="0" fontId="0" fillId="21" borderId="54" xfId="0" applyFill="1" applyBorder="1" applyAlignment="1">
      <alignment horizontal="center" vertical="center"/>
    </xf>
    <xf numFmtId="0" fontId="0" fillId="21" borderId="81" xfId="0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0" fillId="0" borderId="120" xfId="0" applyBorder="1" applyAlignment="1">
      <alignment horizontal="center" vertical="center"/>
    </xf>
    <xf numFmtId="0" fontId="0" fillId="0" borderId="78" xfId="0" applyBorder="1" applyAlignment="1">
      <alignment horizontal="center"/>
    </xf>
    <xf numFmtId="0" fontId="0" fillId="19" borderId="89" xfId="0" applyFill="1" applyBorder="1" applyAlignment="1">
      <alignment horizontal="center"/>
    </xf>
    <xf numFmtId="0" fontId="0" fillId="19" borderId="80" xfId="0" applyFill="1" applyBorder="1" applyAlignment="1">
      <alignment horizontal="center"/>
    </xf>
    <xf numFmtId="0" fontId="0" fillId="0" borderId="87" xfId="0" applyBorder="1" applyAlignment="1">
      <alignment horizontal="center"/>
    </xf>
    <xf numFmtId="0" fontId="0" fillId="0" borderId="88" xfId="0" applyBorder="1" applyAlignment="1">
      <alignment horizontal="center"/>
    </xf>
    <xf numFmtId="0" fontId="0" fillId="23" borderId="76" xfId="0" applyFill="1" applyBorder="1" applyAlignment="1">
      <alignment horizontal="center" vertical="center"/>
    </xf>
    <xf numFmtId="0" fontId="0" fillId="23" borderId="77" xfId="0" applyFill="1" applyBorder="1" applyAlignment="1">
      <alignment horizontal="center" vertical="center"/>
    </xf>
    <xf numFmtId="168" fontId="0" fillId="23" borderId="77" xfId="0" applyNumberFormat="1" applyFill="1" applyBorder="1" applyAlignment="1">
      <alignment horizontal="center" vertical="center"/>
    </xf>
    <xf numFmtId="0" fontId="0" fillId="20" borderId="76" xfId="0" applyFill="1" applyBorder="1" applyAlignment="1">
      <alignment horizontal="left" vertical="center"/>
    </xf>
    <xf numFmtId="0" fontId="0" fillId="20" borderId="54" xfId="0" applyFill="1" applyBorder="1" applyAlignment="1">
      <alignment horizontal="center" vertical="center"/>
    </xf>
    <xf numFmtId="0" fontId="0" fillId="20" borderId="81" xfId="0" applyFill="1" applyBorder="1" applyAlignment="1">
      <alignment horizontal="center" vertical="center"/>
    </xf>
    <xf numFmtId="0" fontId="0" fillId="20" borderId="76" xfId="0" applyFill="1" applyBorder="1" applyAlignment="1">
      <alignment horizontal="left" vertical="center" wrapText="1"/>
    </xf>
    <xf numFmtId="0" fontId="0" fillId="20" borderId="91" xfId="0" applyFill="1" applyBorder="1" applyAlignment="1">
      <alignment horizontal="center" vertical="center"/>
    </xf>
    <xf numFmtId="0" fontId="0" fillId="20" borderId="80" xfId="0" applyFill="1" applyBorder="1" applyAlignment="1">
      <alignment horizontal="center" vertical="center"/>
    </xf>
    <xf numFmtId="0" fontId="0" fillId="20" borderId="57" xfId="0" applyFill="1" applyBorder="1" applyAlignment="1">
      <alignment horizontal="center" vertical="center"/>
    </xf>
    <xf numFmtId="0" fontId="0" fillId="20" borderId="21" xfId="0" applyFill="1" applyBorder="1" applyAlignment="1">
      <alignment horizontal="center" vertical="center"/>
    </xf>
  </cellXfs>
  <cellStyles count="129">
    <cellStyle name="20% - Ênfase1 2" xfId="1"/>
    <cellStyle name="20% - Ênfase1 3" xfId="45"/>
    <cellStyle name="20% - Ênfase1 4" xfId="87"/>
    <cellStyle name="20% - Ênfase2 2" xfId="2"/>
    <cellStyle name="20% - Ênfase2 3" xfId="46"/>
    <cellStyle name="20% - Ênfase2 4" xfId="88"/>
    <cellStyle name="20% - Ênfase3 2" xfId="3"/>
    <cellStyle name="20% - Ênfase3 3" xfId="47"/>
    <cellStyle name="20% - Ênfase3 4" xfId="89"/>
    <cellStyle name="20% - Ênfase4 2" xfId="4"/>
    <cellStyle name="20% - Ênfase4 3" xfId="48"/>
    <cellStyle name="20% - Ênfase4 4" xfId="90"/>
    <cellStyle name="20% - Ênfase5 2" xfId="5"/>
    <cellStyle name="20% - Ênfase5 3" xfId="49"/>
    <cellStyle name="20% - Ênfase5 4" xfId="91"/>
    <cellStyle name="20% - Ênfase6 2" xfId="6"/>
    <cellStyle name="20% - Ênfase6 3" xfId="50"/>
    <cellStyle name="20% - Ênfase6 4" xfId="92"/>
    <cellStyle name="40% - Ênfase1 2" xfId="7"/>
    <cellStyle name="40% - Ênfase1 3" xfId="51"/>
    <cellStyle name="40% - Ênfase1 4" xfId="93"/>
    <cellStyle name="40% - Ênfase2 2" xfId="8"/>
    <cellStyle name="40% - Ênfase2 3" xfId="52"/>
    <cellStyle name="40% - Ênfase2 4" xfId="94"/>
    <cellStyle name="40% - Ênfase3 2" xfId="9"/>
    <cellStyle name="40% - Ênfase3 3" xfId="53"/>
    <cellStyle name="40% - Ênfase3 4" xfId="95"/>
    <cellStyle name="40% - Ênfase4 2" xfId="10"/>
    <cellStyle name="40% - Ênfase4 3" xfId="54"/>
    <cellStyle name="40% - Ênfase4 4" xfId="96"/>
    <cellStyle name="40% - Ênfase5 2" xfId="11"/>
    <cellStyle name="40% - Ênfase5 3" xfId="55"/>
    <cellStyle name="40% - Ênfase5 4" xfId="97"/>
    <cellStyle name="40% - Ênfase6 2" xfId="12"/>
    <cellStyle name="40% - Ênfase6 3" xfId="56"/>
    <cellStyle name="40% - Ênfase6 4" xfId="98"/>
    <cellStyle name="60% - Ênfase1 2" xfId="13"/>
    <cellStyle name="60% - Ênfase1 3" xfId="57"/>
    <cellStyle name="60% - Ênfase1 4" xfId="99"/>
    <cellStyle name="60% - Ênfase2 2" xfId="14"/>
    <cellStyle name="60% - Ênfase2 3" xfId="58"/>
    <cellStyle name="60% - Ênfase2 4" xfId="100"/>
    <cellStyle name="60% - Ênfase3 2" xfId="15"/>
    <cellStyle name="60% - Ênfase3 3" xfId="59"/>
    <cellStyle name="60% - Ênfase3 4" xfId="101"/>
    <cellStyle name="60% - Ênfase4 2" xfId="16"/>
    <cellStyle name="60% - Ênfase4 3" xfId="60"/>
    <cellStyle name="60% - Ênfase4 4" xfId="102"/>
    <cellStyle name="60% - Ênfase5 2" xfId="17"/>
    <cellStyle name="60% - Ênfase5 3" xfId="61"/>
    <cellStyle name="60% - Ênfase5 4" xfId="103"/>
    <cellStyle name="60% - Ênfase6 2" xfId="18"/>
    <cellStyle name="60% - Ênfase6 3" xfId="62"/>
    <cellStyle name="60% - Ênfase6 4" xfId="104"/>
    <cellStyle name="Bom 2" xfId="19"/>
    <cellStyle name="Bom 3" xfId="63"/>
    <cellStyle name="Bom 4" xfId="105"/>
    <cellStyle name="Cálculo 2" xfId="20"/>
    <cellStyle name="Cálculo 3" xfId="64"/>
    <cellStyle name="Cálculo 4" xfId="106"/>
    <cellStyle name="Célula de Verificação 2" xfId="21"/>
    <cellStyle name="Célula de Verificação 3" xfId="65"/>
    <cellStyle name="Célula de Verificação 4" xfId="107"/>
    <cellStyle name="Célula Vinculada 2" xfId="22"/>
    <cellStyle name="Célula Vinculada 3" xfId="66"/>
    <cellStyle name="Célula Vinculada 4" xfId="108"/>
    <cellStyle name="Ênfase1 2" xfId="23"/>
    <cellStyle name="Ênfase1 3" xfId="67"/>
    <cellStyle name="Ênfase1 4" xfId="109"/>
    <cellStyle name="Ênfase2 2" xfId="24"/>
    <cellStyle name="Ênfase2 3" xfId="68"/>
    <cellStyle name="Ênfase2 4" xfId="110"/>
    <cellStyle name="Ênfase3 2" xfId="25"/>
    <cellStyle name="Ênfase3 3" xfId="69"/>
    <cellStyle name="Ênfase3 4" xfId="111"/>
    <cellStyle name="Ênfase4 2" xfId="26"/>
    <cellStyle name="Ênfase4 3" xfId="70"/>
    <cellStyle name="Ênfase4 4" xfId="112"/>
    <cellStyle name="Ênfase5 2" xfId="27"/>
    <cellStyle name="Ênfase5 3" xfId="71"/>
    <cellStyle name="Ênfase5 4" xfId="113"/>
    <cellStyle name="Ênfase6 2" xfId="28"/>
    <cellStyle name="Ênfase6 3" xfId="72"/>
    <cellStyle name="Ênfase6 4" xfId="114"/>
    <cellStyle name="Entrada 2" xfId="29"/>
    <cellStyle name="Entrada 3" xfId="73"/>
    <cellStyle name="Entrada 4" xfId="115"/>
    <cellStyle name="Normal" xfId="0" builtinId="0"/>
    <cellStyle name="Normal 2 2" xfId="30"/>
    <cellStyle name="Normal 2 3" xfId="74"/>
    <cellStyle name="Normal 2 4" xfId="116"/>
    <cellStyle name="Normal 3" xfId="31"/>
    <cellStyle name="Normal 4" xfId="44"/>
    <cellStyle name="Normal 5" xfId="86"/>
    <cellStyle name="Normal_Pesquisa no referencial 10 de maio de 2013" xfId="128"/>
    <cellStyle name="Nota 2" xfId="32"/>
    <cellStyle name="Nota 3" xfId="75"/>
    <cellStyle name="Nota 4" xfId="117"/>
    <cellStyle name="Porcentagem 2 2" xfId="33"/>
    <cellStyle name="Porcentagem 2 3" xfId="76"/>
    <cellStyle name="Porcentagem 2 4" xfId="118"/>
    <cellStyle name="Saída 2" xfId="34"/>
    <cellStyle name="Saída 3" xfId="77"/>
    <cellStyle name="Saída 4" xfId="119"/>
    <cellStyle name="Separador de milhares 3" xfId="85"/>
    <cellStyle name="Texto de Aviso 2" xfId="35"/>
    <cellStyle name="Texto de Aviso 3" xfId="78"/>
    <cellStyle name="Texto de Aviso 4" xfId="120"/>
    <cellStyle name="Texto Explicativo 2" xfId="36"/>
    <cellStyle name="Texto Explicativo 3" xfId="79"/>
    <cellStyle name="Texto Explicativo 4" xfId="121"/>
    <cellStyle name="Título 1 2" xfId="37"/>
    <cellStyle name="Título 1 3" xfId="80"/>
    <cellStyle name="Título 1 4" xfId="122"/>
    <cellStyle name="Título 2 2" xfId="38"/>
    <cellStyle name="Título 2 3" xfId="81"/>
    <cellStyle name="Título 2 4" xfId="123"/>
    <cellStyle name="Título 3 2" xfId="39"/>
    <cellStyle name="Título 3 3" xfId="82"/>
    <cellStyle name="Título 3 4" xfId="124"/>
    <cellStyle name="Título 4 2" xfId="40"/>
    <cellStyle name="Título 4 3" xfId="83"/>
    <cellStyle name="Título 4 4" xfId="125"/>
    <cellStyle name="Título 5" xfId="41"/>
    <cellStyle name="Total 2" xfId="42"/>
    <cellStyle name="Total 3" xfId="84"/>
    <cellStyle name="Total 4" xfId="126"/>
    <cellStyle name="Vírgula 2" xfId="43"/>
    <cellStyle name="Vírgula 5" xfId="127"/>
  </cellStyles>
  <dxfs count="0"/>
  <tableStyles count="0" defaultTableStyle="TableStyleMedium2" defaultPivotStyle="PivotStyleLight16"/>
  <colors>
    <mruColors>
      <color rgb="FFFF66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21</xdr:row>
      <xdr:rowOff>142875</xdr:rowOff>
    </xdr:from>
    <xdr:to>
      <xdr:col>2</xdr:col>
      <xdr:colOff>619125</xdr:colOff>
      <xdr:row>23</xdr:row>
      <xdr:rowOff>28575</xdr:rowOff>
    </xdr:to>
    <xdr:cxnSp macro="">
      <xdr:nvCxnSpPr>
        <xdr:cNvPr id="3" name="Conector de seta reta 2"/>
        <xdr:cNvCxnSpPr/>
      </xdr:nvCxnSpPr>
      <xdr:spPr>
        <a:xfrm>
          <a:off x="3419475" y="4457700"/>
          <a:ext cx="523875" cy="3048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21</xdr:row>
      <xdr:rowOff>95250</xdr:rowOff>
    </xdr:from>
    <xdr:to>
      <xdr:col>5</xdr:col>
      <xdr:colOff>257175</xdr:colOff>
      <xdr:row>23</xdr:row>
      <xdr:rowOff>57150</xdr:rowOff>
    </xdr:to>
    <xdr:cxnSp macro="">
      <xdr:nvCxnSpPr>
        <xdr:cNvPr id="5" name="Conector de seta reta 4"/>
        <xdr:cNvCxnSpPr/>
      </xdr:nvCxnSpPr>
      <xdr:spPr>
        <a:xfrm rot="5400000">
          <a:off x="6372225" y="4533900"/>
          <a:ext cx="381000" cy="2095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381000</xdr:colOff>
      <xdr:row>10</xdr:row>
      <xdr:rowOff>0</xdr:rowOff>
    </xdr:from>
    <xdr:to>
      <xdr:col>11</xdr:col>
      <xdr:colOff>323850</xdr:colOff>
      <xdr:row>41</xdr:row>
      <xdr:rowOff>180975</xdr:rowOff>
    </xdr:to>
    <xdr:sp macro="" textlink="">
      <xdr:nvSpPr>
        <xdr:cNvPr id="6" name="Retângulo 5"/>
        <xdr:cNvSpPr/>
      </xdr:nvSpPr>
      <xdr:spPr>
        <a:xfrm>
          <a:off x="7981950" y="2152650"/>
          <a:ext cx="5629275" cy="65246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  <xdr:oneCellAnchor>
    <xdr:from>
      <xdr:col>7</xdr:col>
      <xdr:colOff>400050</xdr:colOff>
      <xdr:row>11</xdr:row>
      <xdr:rowOff>28575</xdr:rowOff>
    </xdr:from>
    <xdr:ext cx="4891724" cy="342786"/>
    <xdr:sp macro="" textlink="">
      <xdr:nvSpPr>
        <xdr:cNvPr id="7" name="CaixaDeTexto 6"/>
        <xdr:cNvSpPr txBox="1"/>
      </xdr:nvSpPr>
      <xdr:spPr>
        <a:xfrm>
          <a:off x="8096250" y="2390775"/>
          <a:ext cx="4891724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pt-BR" sz="1600" b="1">
              <a:solidFill>
                <a:schemeClr val="tx2">
                  <a:lumMod val="60000"/>
                  <a:lumOff val="40000"/>
                </a:schemeClr>
              </a:solidFill>
            </a:rPr>
            <a:t>VIGA</a:t>
          </a:r>
          <a:r>
            <a:rPr lang="pt-BR" sz="1600" b="1" baseline="0">
              <a:solidFill>
                <a:schemeClr val="tx2">
                  <a:lumMod val="60000"/>
                  <a:lumOff val="40000"/>
                </a:schemeClr>
              </a:solidFill>
            </a:rPr>
            <a:t> BALDRAME PARA QUADRA DE GRAMA SINTÉTICA</a:t>
          </a:r>
          <a:endParaRPr lang="pt-BR" sz="1600" b="1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/>
  </xdr:oneCellAnchor>
  <xdr:twoCellAnchor>
    <xdr:from>
      <xdr:col>0</xdr:col>
      <xdr:colOff>1704975</xdr:colOff>
      <xdr:row>140</xdr:row>
      <xdr:rowOff>47625</xdr:rowOff>
    </xdr:from>
    <xdr:to>
      <xdr:col>3</xdr:col>
      <xdr:colOff>466725</xdr:colOff>
      <xdr:row>141</xdr:row>
      <xdr:rowOff>152400</xdr:rowOff>
    </xdr:to>
    <xdr:sp macro="" textlink="">
      <xdr:nvSpPr>
        <xdr:cNvPr id="8" name="CaixaDeTexto 7"/>
        <xdr:cNvSpPr txBox="1"/>
      </xdr:nvSpPr>
      <xdr:spPr>
        <a:xfrm>
          <a:off x="1704975" y="27765375"/>
          <a:ext cx="299085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pt-BR" sz="1100"/>
            <a:t>AÇO - BLOCOS</a:t>
          </a:r>
        </a:p>
      </xdr:txBody>
    </xdr:sp>
    <xdr:clientData/>
  </xdr:twoCellAnchor>
  <xdr:twoCellAnchor>
    <xdr:from>
      <xdr:col>0</xdr:col>
      <xdr:colOff>1533525</xdr:colOff>
      <xdr:row>157</xdr:row>
      <xdr:rowOff>152400</xdr:rowOff>
    </xdr:from>
    <xdr:to>
      <xdr:col>3</xdr:col>
      <xdr:colOff>295275</xdr:colOff>
      <xdr:row>159</xdr:row>
      <xdr:rowOff>66675</xdr:rowOff>
    </xdr:to>
    <xdr:sp macro="" textlink="">
      <xdr:nvSpPr>
        <xdr:cNvPr id="9" name="CaixaDeTexto 8"/>
        <xdr:cNvSpPr txBox="1"/>
      </xdr:nvSpPr>
      <xdr:spPr>
        <a:xfrm>
          <a:off x="1533525" y="31680150"/>
          <a:ext cx="299085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pt-BR" sz="1100"/>
            <a:t>AÇO</a:t>
          </a:r>
          <a:r>
            <a:rPr lang="pt-BR" sz="1100" baseline="0"/>
            <a:t> - </a:t>
          </a:r>
          <a:r>
            <a:rPr lang="pt-BR" sz="1100"/>
            <a:t>VIGA</a:t>
          </a:r>
          <a:r>
            <a:rPr lang="pt-BR" sz="1100" baseline="0"/>
            <a:t> BALDRAME</a:t>
          </a:r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1876425</xdr:colOff>
      <xdr:row>12</xdr:row>
      <xdr:rowOff>85725</xdr:rowOff>
    </xdr:from>
    <xdr:to>
      <xdr:col>9</xdr:col>
      <xdr:colOff>361950</xdr:colOff>
      <xdr:row>20</xdr:row>
      <xdr:rowOff>66675</xdr:rowOff>
    </xdr:to>
    <xdr:cxnSp macro="">
      <xdr:nvCxnSpPr>
        <xdr:cNvPr id="3" name="Conector de seta reta 2"/>
        <xdr:cNvCxnSpPr/>
      </xdr:nvCxnSpPr>
      <xdr:spPr>
        <a:xfrm>
          <a:off x="2486025" y="2371725"/>
          <a:ext cx="4819650" cy="15049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9"/>
  <sheetViews>
    <sheetView zoomScale="85" zoomScaleNormal="85" workbookViewId="0">
      <pane ySplit="9" topLeftCell="A20" activePane="bottomLeft" state="frozen"/>
      <selection pane="bottomLeft" activeCell="O26" sqref="O26"/>
    </sheetView>
  </sheetViews>
  <sheetFormatPr defaultRowHeight="15"/>
  <cols>
    <col min="1" max="1" width="5.28515625" customWidth="1"/>
    <col min="2" max="2" width="13.85546875" customWidth="1"/>
    <col min="3" max="3" width="11.5703125" bestFit="1" customWidth="1"/>
    <col min="4" max="4" width="52.85546875" customWidth="1"/>
    <col min="5" max="5" width="5.7109375" style="140" bestFit="1" customWidth="1"/>
    <col min="6" max="6" width="11.7109375" style="5" customWidth="1"/>
    <col min="7" max="7" width="12.5703125" style="5" bestFit="1" customWidth="1"/>
    <col min="8" max="9" width="15.140625" style="5" customWidth="1"/>
    <col min="10" max="10" width="12.5703125" style="5" bestFit="1" customWidth="1"/>
    <col min="11" max="14" width="15.140625" style="5" customWidth="1"/>
    <col min="15" max="15" width="15" customWidth="1"/>
    <col min="16" max="16" width="10.28515625" style="123" bestFit="1" customWidth="1"/>
    <col min="17" max="17" width="11.5703125" bestFit="1" customWidth="1"/>
  </cols>
  <sheetData>
    <row r="1" spans="1:17" ht="15.75">
      <c r="A1" s="266" t="s">
        <v>11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</row>
    <row r="2" spans="1:17">
      <c r="A2" s="79"/>
      <c r="B2" s="79"/>
      <c r="C2" s="79"/>
      <c r="D2" s="79"/>
      <c r="E2" s="84"/>
      <c r="F2" s="80"/>
      <c r="G2" s="80"/>
      <c r="H2" s="80"/>
      <c r="I2" s="80"/>
      <c r="J2" s="80"/>
      <c r="K2" s="80"/>
      <c r="L2" s="80"/>
      <c r="M2" s="80"/>
      <c r="N2" s="80"/>
      <c r="O2" s="79"/>
    </row>
    <row r="3" spans="1:17" ht="15.75">
      <c r="A3" s="266" t="s">
        <v>290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</row>
    <row r="4" spans="1:17" ht="15.75">
      <c r="A4" s="269" t="s">
        <v>294</v>
      </c>
      <c r="B4" s="269"/>
      <c r="C4" s="269"/>
      <c r="D4" s="269"/>
      <c r="E4" s="84"/>
      <c r="F4" s="80"/>
      <c r="G4" s="80"/>
      <c r="H4" s="80"/>
      <c r="I4" s="80"/>
      <c r="J4" s="80"/>
      <c r="K4" s="80"/>
      <c r="L4" s="80"/>
      <c r="M4" s="80"/>
      <c r="N4" s="80"/>
      <c r="O4" s="79"/>
    </row>
    <row r="5" spans="1:17">
      <c r="A5" s="270" t="s">
        <v>9</v>
      </c>
      <c r="B5" s="270"/>
      <c r="C5" s="222">
        <v>0.2366</v>
      </c>
      <c r="D5" s="82">
        <v>1.2365999999999999</v>
      </c>
      <c r="E5" s="84"/>
      <c r="F5" s="216">
        <v>1.2048000000000001</v>
      </c>
      <c r="G5" s="80"/>
      <c r="H5" s="80"/>
      <c r="I5" s="80"/>
      <c r="J5" s="80"/>
      <c r="K5" s="80"/>
      <c r="L5" s="80"/>
      <c r="M5" s="80"/>
      <c r="N5" s="80"/>
      <c r="O5" s="79"/>
    </row>
    <row r="6" spans="1:17">
      <c r="A6" s="270" t="s">
        <v>151</v>
      </c>
      <c r="B6" s="270"/>
      <c r="C6" s="270"/>
      <c r="D6" s="270"/>
      <c r="E6" s="156"/>
      <c r="F6" s="217"/>
      <c r="G6" s="80"/>
      <c r="H6" s="80"/>
      <c r="I6" s="80"/>
      <c r="J6" s="80"/>
      <c r="K6" s="80"/>
      <c r="L6" s="80"/>
      <c r="M6" s="80"/>
      <c r="N6" s="80"/>
      <c r="O6" s="79"/>
    </row>
    <row r="7" spans="1:17">
      <c r="A7" s="79"/>
      <c r="B7" s="81"/>
      <c r="C7" s="83"/>
      <c r="D7" s="79"/>
      <c r="E7" s="84"/>
      <c r="F7" s="218"/>
      <c r="G7" s="264" t="s">
        <v>291</v>
      </c>
      <c r="H7" s="271"/>
      <c r="I7" s="271"/>
      <c r="J7" s="264" t="s">
        <v>292</v>
      </c>
      <c r="K7" s="272"/>
      <c r="L7" s="272"/>
      <c r="M7" s="264" t="s">
        <v>293</v>
      </c>
      <c r="N7" s="265"/>
      <c r="O7" s="79"/>
    </row>
    <row r="8" spans="1:17" ht="25.5">
      <c r="A8" s="1" t="s">
        <v>3</v>
      </c>
      <c r="B8" s="2" t="s">
        <v>4</v>
      </c>
      <c r="C8" s="2" t="s">
        <v>5</v>
      </c>
      <c r="D8" s="2" t="s">
        <v>6</v>
      </c>
      <c r="E8" s="2" t="s">
        <v>236</v>
      </c>
      <c r="F8" s="4" t="s">
        <v>7</v>
      </c>
      <c r="G8" s="213" t="s">
        <v>103</v>
      </c>
      <c r="H8" s="88" t="s">
        <v>104</v>
      </c>
      <c r="I8" s="88" t="s">
        <v>105</v>
      </c>
      <c r="J8" s="213" t="s">
        <v>103</v>
      </c>
      <c r="K8" s="88" t="s">
        <v>104</v>
      </c>
      <c r="L8" s="88" t="s">
        <v>105</v>
      </c>
      <c r="M8" s="213" t="s">
        <v>103</v>
      </c>
      <c r="N8" s="229" t="s">
        <v>106</v>
      </c>
      <c r="O8" s="226" t="s">
        <v>8</v>
      </c>
    </row>
    <row r="9" spans="1:17" ht="15" customHeight="1">
      <c r="A9" s="275" t="s">
        <v>299</v>
      </c>
      <c r="B9" s="276"/>
      <c r="C9" s="276"/>
      <c r="D9" s="276"/>
      <c r="E9" s="276"/>
      <c r="F9" s="276"/>
      <c r="G9" s="276"/>
      <c r="H9" s="89"/>
      <c r="I9" s="89"/>
      <c r="J9" s="258"/>
      <c r="K9" s="256"/>
      <c r="L9" s="256"/>
      <c r="M9" s="262">
        <f>SUM(M11:M12,M14:M24)</f>
        <v>510323.35000000003</v>
      </c>
      <c r="N9" s="262">
        <f t="shared" ref="N9:O9" si="0">SUM(N11:N12,N14:N24)</f>
        <v>150655.31</v>
      </c>
      <c r="O9" s="262">
        <f t="shared" si="0"/>
        <v>660978.66</v>
      </c>
    </row>
    <row r="10" spans="1:17" ht="15" customHeight="1">
      <c r="A10" s="6" t="s">
        <v>10</v>
      </c>
      <c r="B10" s="267" t="s">
        <v>87</v>
      </c>
      <c r="C10" s="267"/>
      <c r="D10" s="267"/>
      <c r="E10" s="268"/>
      <c r="F10" s="268"/>
      <c r="G10" s="215"/>
      <c r="H10" s="90"/>
      <c r="I10" s="90"/>
      <c r="J10" s="215"/>
      <c r="K10" s="259"/>
      <c r="L10" s="259"/>
      <c r="M10" s="227">
        <f t="shared" ref="M10:N10" si="1">ROUND((SUM(M11:M12)),2)</f>
        <v>4932.8500000000004</v>
      </c>
      <c r="N10" s="227">
        <f t="shared" si="1"/>
        <v>3906.59</v>
      </c>
      <c r="O10" s="227">
        <f>ROUND((SUM(O11:O12)),2)</f>
        <v>8839.44</v>
      </c>
    </row>
    <row r="11" spans="1:17">
      <c r="A11" s="230" t="s">
        <v>237</v>
      </c>
      <c r="B11" s="163" t="s">
        <v>238</v>
      </c>
      <c r="C11" s="164" t="s">
        <v>239</v>
      </c>
      <c r="D11" s="232" t="s">
        <v>240</v>
      </c>
      <c r="E11" s="231" t="s">
        <v>0</v>
      </c>
      <c r="F11" s="196">
        <v>2</v>
      </c>
      <c r="G11" s="214">
        <f>Composição!F5</f>
        <v>260.65000000000003</v>
      </c>
      <c r="H11" s="68">
        <f>Composição!F6</f>
        <v>60.822099999999999</v>
      </c>
      <c r="I11" s="211">
        <f>G11+H11</f>
        <v>321.47210000000001</v>
      </c>
      <c r="J11" s="214">
        <f>ROUND((G11*$D$5),2)</f>
        <v>322.32</v>
      </c>
      <c r="K11" s="68">
        <f>ROUND((H11*$D$5),2)</f>
        <v>75.209999999999994</v>
      </c>
      <c r="L11" s="211">
        <f>J11+K11</f>
        <v>397.53</v>
      </c>
      <c r="M11" s="214">
        <f>ROUND((J11*F11),2)</f>
        <v>644.64</v>
      </c>
      <c r="N11" s="214">
        <f>ROUND((K11*F11),2)</f>
        <v>150.41999999999999</v>
      </c>
      <c r="O11" s="228">
        <f>M11+N11</f>
        <v>795.06</v>
      </c>
      <c r="Q11" s="67"/>
    </row>
    <row r="12" spans="1:17" ht="38.25">
      <c r="A12" s="230" t="s">
        <v>14</v>
      </c>
      <c r="B12" s="163" t="s">
        <v>17</v>
      </c>
      <c r="C12" s="164" t="s">
        <v>210</v>
      </c>
      <c r="D12" s="232" t="s">
        <v>211</v>
      </c>
      <c r="E12" s="231" t="s">
        <v>2</v>
      </c>
      <c r="F12" s="196">
        <v>144.97</v>
      </c>
      <c r="G12" s="214">
        <v>23.92</v>
      </c>
      <c r="H12" s="68">
        <f>20.94+0.01</f>
        <v>20.950000000000003</v>
      </c>
      <c r="I12" s="211">
        <f t="shared" ref="I12:I24" si="2">G12+H12</f>
        <v>44.870000000000005</v>
      </c>
      <c r="J12" s="214">
        <f>ROUND((G12*$D$5),2)</f>
        <v>29.58</v>
      </c>
      <c r="K12" s="68">
        <f>ROUND((H12*$D$5),2)</f>
        <v>25.91</v>
      </c>
      <c r="L12" s="211">
        <f>J12+K12</f>
        <v>55.489999999999995</v>
      </c>
      <c r="M12" s="214">
        <f>ROUND((J12*F12),2)</f>
        <v>4288.21</v>
      </c>
      <c r="N12" s="214">
        <f>ROUND((K12*F12),2)</f>
        <v>3756.17</v>
      </c>
      <c r="O12" s="228">
        <f>M12+N12</f>
        <v>8044.38</v>
      </c>
      <c r="Q12" s="67"/>
    </row>
    <row r="13" spans="1:17" ht="15" customHeight="1">
      <c r="A13" s="6" t="s">
        <v>15</v>
      </c>
      <c r="B13" s="267" t="s">
        <v>21</v>
      </c>
      <c r="C13" s="267"/>
      <c r="D13" s="267"/>
      <c r="E13" s="268"/>
      <c r="F13" s="268"/>
      <c r="G13" s="215"/>
      <c r="H13" s="210"/>
      <c r="I13" s="212"/>
      <c r="J13" s="215"/>
      <c r="K13" s="210"/>
      <c r="L13" s="212"/>
      <c r="M13" s="227">
        <f t="shared" ref="M13:N13" si="3">ROUND((SUM(M14:M24)),2)</f>
        <v>505390.5</v>
      </c>
      <c r="N13" s="227">
        <f t="shared" si="3"/>
        <v>146748.72</v>
      </c>
      <c r="O13" s="227">
        <f>ROUND((SUM(O14:O24)),2)</f>
        <v>652139.22</v>
      </c>
      <c r="Q13" s="67"/>
    </row>
    <row r="14" spans="1:17" ht="51">
      <c r="A14" s="230" t="s">
        <v>28</v>
      </c>
      <c r="B14" s="163" t="s">
        <v>17</v>
      </c>
      <c r="C14" s="164" t="s">
        <v>157</v>
      </c>
      <c r="D14" s="232" t="s">
        <v>158</v>
      </c>
      <c r="E14" s="231" t="s">
        <v>2</v>
      </c>
      <c r="F14" s="196">
        <f>Cálculos!H103</f>
        <v>144</v>
      </c>
      <c r="G14" s="214">
        <f>16.34+78.34</f>
        <v>94.68</v>
      </c>
      <c r="H14" s="68">
        <v>7.24</v>
      </c>
      <c r="I14" s="211">
        <f t="shared" si="2"/>
        <v>101.92</v>
      </c>
      <c r="J14" s="214">
        <f t="shared" ref="J14:K20" si="4">ROUND((G14*$D$5),2)</f>
        <v>117.08</v>
      </c>
      <c r="K14" s="68">
        <f t="shared" si="4"/>
        <v>8.9499999999999993</v>
      </c>
      <c r="L14" s="211">
        <f t="shared" ref="L14:L24" si="5">J14+K14</f>
        <v>126.03</v>
      </c>
      <c r="M14" s="214">
        <f t="shared" ref="M14:M24" si="6">ROUND((J14*F14),2)</f>
        <v>16859.52</v>
      </c>
      <c r="N14" s="214">
        <f t="shared" ref="N14:N24" si="7">ROUND((K14*F14),2)</f>
        <v>1288.8</v>
      </c>
      <c r="O14" s="228">
        <f>M14+N14</f>
        <v>18148.32</v>
      </c>
      <c r="Q14" s="67"/>
    </row>
    <row r="15" spans="1:17" ht="38.25">
      <c r="A15" s="230" t="s">
        <v>29</v>
      </c>
      <c r="B15" s="163" t="s">
        <v>17</v>
      </c>
      <c r="C15" s="164" t="s">
        <v>159</v>
      </c>
      <c r="D15" s="232" t="s">
        <v>153</v>
      </c>
      <c r="E15" s="231" t="s">
        <v>1</v>
      </c>
      <c r="F15" s="196">
        <f>Cálculos!E108</f>
        <v>34.56</v>
      </c>
      <c r="G15" s="214">
        <f>13.4+12.72</f>
        <v>26.12</v>
      </c>
      <c r="H15" s="68">
        <v>13.88</v>
      </c>
      <c r="I15" s="211">
        <f t="shared" si="2"/>
        <v>40</v>
      </c>
      <c r="J15" s="214">
        <f t="shared" si="4"/>
        <v>32.299999999999997</v>
      </c>
      <c r="K15" s="68">
        <f t="shared" si="4"/>
        <v>17.16</v>
      </c>
      <c r="L15" s="211">
        <f t="shared" si="5"/>
        <v>49.459999999999994</v>
      </c>
      <c r="M15" s="214">
        <f t="shared" si="6"/>
        <v>1116.29</v>
      </c>
      <c r="N15" s="214">
        <f t="shared" si="7"/>
        <v>593.04999999999995</v>
      </c>
      <c r="O15" s="228">
        <f t="shared" ref="O15:O24" si="8">SUM(M15:N15)</f>
        <v>1709.34</v>
      </c>
      <c r="Q15" s="67"/>
    </row>
    <row r="16" spans="1:17" ht="25.5">
      <c r="A16" s="230" t="s">
        <v>16</v>
      </c>
      <c r="B16" s="163" t="s">
        <v>17</v>
      </c>
      <c r="C16" s="164" t="s">
        <v>160</v>
      </c>
      <c r="D16" s="232" t="s">
        <v>156</v>
      </c>
      <c r="E16" s="231" t="s">
        <v>1</v>
      </c>
      <c r="F16" s="196">
        <f>Cálculos!B111</f>
        <v>0.43</v>
      </c>
      <c r="G16" s="214">
        <f>3.03+333.87</f>
        <v>336.9</v>
      </c>
      <c r="H16" s="68">
        <f>196.17+2.02</f>
        <v>198.19</v>
      </c>
      <c r="I16" s="211">
        <f t="shared" si="2"/>
        <v>535.08999999999992</v>
      </c>
      <c r="J16" s="214">
        <f t="shared" si="4"/>
        <v>416.61</v>
      </c>
      <c r="K16" s="68">
        <f t="shared" si="4"/>
        <v>245.08</v>
      </c>
      <c r="L16" s="211">
        <f t="shared" ref="L16" si="9">J16+K16</f>
        <v>661.69</v>
      </c>
      <c r="M16" s="214">
        <f t="shared" si="6"/>
        <v>179.14</v>
      </c>
      <c r="N16" s="214">
        <f t="shared" si="7"/>
        <v>105.38</v>
      </c>
      <c r="O16" s="228">
        <f t="shared" si="8"/>
        <v>284.52</v>
      </c>
      <c r="Q16" s="67"/>
    </row>
    <row r="17" spans="1:17" ht="38.25">
      <c r="A17" s="230" t="s">
        <v>228</v>
      </c>
      <c r="B17" s="163" t="s">
        <v>17</v>
      </c>
      <c r="C17" s="164" t="s">
        <v>161</v>
      </c>
      <c r="D17" s="232" t="s">
        <v>154</v>
      </c>
      <c r="E17" s="231" t="s">
        <v>0</v>
      </c>
      <c r="F17" s="196">
        <f>Cálculos!B120</f>
        <v>40.32</v>
      </c>
      <c r="G17" s="214">
        <v>102.29</v>
      </c>
      <c r="H17" s="68">
        <f>44.91+0.22</f>
        <v>45.129999999999995</v>
      </c>
      <c r="I17" s="211">
        <f t="shared" si="2"/>
        <v>147.42000000000002</v>
      </c>
      <c r="J17" s="214">
        <f t="shared" si="4"/>
        <v>126.49</v>
      </c>
      <c r="K17" s="68">
        <f t="shared" si="4"/>
        <v>55.81</v>
      </c>
      <c r="L17" s="211">
        <f t="shared" si="5"/>
        <v>182.3</v>
      </c>
      <c r="M17" s="214">
        <f t="shared" si="6"/>
        <v>5100.08</v>
      </c>
      <c r="N17" s="214">
        <f t="shared" si="7"/>
        <v>2250.2600000000002</v>
      </c>
      <c r="O17" s="228">
        <f t="shared" si="8"/>
        <v>7350.34</v>
      </c>
      <c r="Q17" s="67"/>
    </row>
    <row r="18" spans="1:17" ht="38.25">
      <c r="A18" s="230" t="s">
        <v>229</v>
      </c>
      <c r="B18" s="163" t="s">
        <v>17</v>
      </c>
      <c r="C18" s="164" t="s">
        <v>187</v>
      </c>
      <c r="D18" s="232" t="s">
        <v>186</v>
      </c>
      <c r="E18" s="231" t="s">
        <v>30</v>
      </c>
      <c r="F18" s="196">
        <f>Cálculos!B151</f>
        <v>138.79</v>
      </c>
      <c r="G18" s="214">
        <v>13.33</v>
      </c>
      <c r="H18" s="68">
        <v>2.93</v>
      </c>
      <c r="I18" s="211">
        <f t="shared" si="2"/>
        <v>16.260000000000002</v>
      </c>
      <c r="J18" s="214">
        <f t="shared" si="4"/>
        <v>16.48</v>
      </c>
      <c r="K18" s="68">
        <f t="shared" si="4"/>
        <v>3.62</v>
      </c>
      <c r="L18" s="211">
        <f t="shared" si="5"/>
        <v>20.100000000000001</v>
      </c>
      <c r="M18" s="214">
        <f t="shared" si="6"/>
        <v>2287.2600000000002</v>
      </c>
      <c r="N18" s="214">
        <f t="shared" si="7"/>
        <v>502.42</v>
      </c>
      <c r="O18" s="228">
        <f t="shared" si="8"/>
        <v>2789.6800000000003</v>
      </c>
      <c r="Q18" s="67"/>
    </row>
    <row r="19" spans="1:17" ht="51">
      <c r="A19" s="230" t="s">
        <v>230</v>
      </c>
      <c r="B19" s="163" t="s">
        <v>17</v>
      </c>
      <c r="C19" s="164" t="s">
        <v>162</v>
      </c>
      <c r="D19" s="232" t="s">
        <v>155</v>
      </c>
      <c r="E19" s="231" t="s">
        <v>1</v>
      </c>
      <c r="F19" s="196">
        <f>Cálculos!B109</f>
        <v>6.05</v>
      </c>
      <c r="G19" s="214">
        <f>0.08+516.69</f>
        <v>516.7700000000001</v>
      </c>
      <c r="H19" s="68">
        <f>14.12+0.11</f>
        <v>14.229999999999999</v>
      </c>
      <c r="I19" s="211">
        <f t="shared" si="2"/>
        <v>531.00000000000011</v>
      </c>
      <c r="J19" s="214">
        <f t="shared" si="4"/>
        <v>639.04</v>
      </c>
      <c r="K19" s="68">
        <f t="shared" si="4"/>
        <v>17.600000000000001</v>
      </c>
      <c r="L19" s="211">
        <f t="shared" si="5"/>
        <v>656.64</v>
      </c>
      <c r="M19" s="214">
        <f t="shared" si="6"/>
        <v>3866.19</v>
      </c>
      <c r="N19" s="214">
        <f t="shared" si="7"/>
        <v>106.48</v>
      </c>
      <c r="O19" s="228">
        <f t="shared" si="8"/>
        <v>3972.67</v>
      </c>
      <c r="Q19" s="67"/>
    </row>
    <row r="20" spans="1:17" ht="76.5">
      <c r="A20" s="230" t="s">
        <v>281</v>
      </c>
      <c r="B20" s="163" t="s">
        <v>17</v>
      </c>
      <c r="C20" s="164" t="s">
        <v>280</v>
      </c>
      <c r="D20" s="232" t="s">
        <v>285</v>
      </c>
      <c r="E20" s="231" t="s">
        <v>1</v>
      </c>
      <c r="F20" s="196">
        <f>Cálculos!E112</f>
        <v>28.51</v>
      </c>
      <c r="G20" s="214">
        <f>4.7+2.96</f>
        <v>7.66</v>
      </c>
      <c r="H20" s="68">
        <v>2.81</v>
      </c>
      <c r="I20" s="211">
        <f t="shared" si="2"/>
        <v>10.47</v>
      </c>
      <c r="J20" s="214">
        <f t="shared" si="4"/>
        <v>9.4700000000000006</v>
      </c>
      <c r="K20" s="68">
        <f t="shared" si="4"/>
        <v>3.47</v>
      </c>
      <c r="L20" s="211">
        <f t="shared" si="5"/>
        <v>12.940000000000001</v>
      </c>
      <c r="M20" s="214">
        <f t="shared" si="6"/>
        <v>269.99</v>
      </c>
      <c r="N20" s="214">
        <f t="shared" si="7"/>
        <v>98.93</v>
      </c>
      <c r="O20" s="228">
        <f t="shared" si="8"/>
        <v>368.92</v>
      </c>
      <c r="Q20" s="67"/>
    </row>
    <row r="21" spans="1:17" ht="165.75">
      <c r="A21" s="135" t="s">
        <v>282</v>
      </c>
      <c r="B21" s="7" t="s">
        <v>12</v>
      </c>
      <c r="C21" s="8" t="s">
        <v>20</v>
      </c>
      <c r="D21" s="9" t="s">
        <v>276</v>
      </c>
      <c r="E21" s="155" t="s">
        <v>0</v>
      </c>
      <c r="F21" s="136">
        <v>1251</v>
      </c>
      <c r="G21" s="214">
        <v>251</v>
      </c>
      <c r="H21" s="68">
        <v>107.57</v>
      </c>
      <c r="I21" s="211">
        <f t="shared" si="2"/>
        <v>358.57</v>
      </c>
      <c r="J21" s="214">
        <f>G21</f>
        <v>251</v>
      </c>
      <c r="K21" s="214">
        <f>H21</f>
        <v>107.57</v>
      </c>
      <c r="L21" s="211">
        <f t="shared" si="5"/>
        <v>358.57</v>
      </c>
      <c r="M21" s="214">
        <f t="shared" si="6"/>
        <v>314001</v>
      </c>
      <c r="N21" s="214">
        <f t="shared" si="7"/>
        <v>134570.07</v>
      </c>
      <c r="O21" s="228">
        <f t="shared" si="8"/>
        <v>448571.07</v>
      </c>
      <c r="Q21" s="255"/>
    </row>
    <row r="22" spans="1:17" ht="38.25">
      <c r="A22" s="135" t="s">
        <v>283</v>
      </c>
      <c r="B22" s="7" t="s">
        <v>12</v>
      </c>
      <c r="C22" s="8" t="s">
        <v>20</v>
      </c>
      <c r="D22" s="9" t="s">
        <v>275</v>
      </c>
      <c r="E22" s="155" t="s">
        <v>0</v>
      </c>
      <c r="F22" s="136">
        <v>1345.76</v>
      </c>
      <c r="G22" s="214">
        <v>106.61</v>
      </c>
      <c r="H22" s="68">
        <v>3.44</v>
      </c>
      <c r="I22" s="211">
        <f t="shared" si="2"/>
        <v>110.05</v>
      </c>
      <c r="J22" s="214">
        <f>G22</f>
        <v>106.61</v>
      </c>
      <c r="K22" s="214">
        <f>H22</f>
        <v>3.44</v>
      </c>
      <c r="L22" s="211">
        <f t="shared" si="5"/>
        <v>110.05</v>
      </c>
      <c r="M22" s="214">
        <f t="shared" si="6"/>
        <v>143471.47</v>
      </c>
      <c r="N22" s="214">
        <f t="shared" si="7"/>
        <v>4629.41</v>
      </c>
      <c r="O22" s="228">
        <f t="shared" si="8"/>
        <v>148100.88</v>
      </c>
      <c r="Q22" s="67"/>
    </row>
    <row r="23" spans="1:17" ht="38.25">
      <c r="A23" s="135" t="s">
        <v>284</v>
      </c>
      <c r="B23" s="7" t="s">
        <v>17</v>
      </c>
      <c r="C23" s="8" t="s">
        <v>18</v>
      </c>
      <c r="D23" s="9" t="s">
        <v>19</v>
      </c>
      <c r="E23" s="155" t="s">
        <v>2</v>
      </c>
      <c r="F23" s="136">
        <v>88</v>
      </c>
      <c r="G23" s="214">
        <v>107.29</v>
      </c>
      <c r="H23" s="68">
        <f>10.84+0.01</f>
        <v>10.85</v>
      </c>
      <c r="I23" s="211">
        <f t="shared" si="2"/>
        <v>118.14</v>
      </c>
      <c r="J23" s="214">
        <f>ROUND((G23*$D$5),2)</f>
        <v>132.66999999999999</v>
      </c>
      <c r="K23" s="68">
        <f>ROUND((H23*$D$5),2)</f>
        <v>13.42</v>
      </c>
      <c r="L23" s="211">
        <f t="shared" si="5"/>
        <v>146.08999999999997</v>
      </c>
      <c r="M23" s="214">
        <f t="shared" si="6"/>
        <v>11674.96</v>
      </c>
      <c r="N23" s="214">
        <f t="shared" si="7"/>
        <v>1180.96</v>
      </c>
      <c r="O23" s="228">
        <f t="shared" si="8"/>
        <v>12855.919999999998</v>
      </c>
      <c r="Q23" s="67"/>
    </row>
    <row r="24" spans="1:17" ht="38.25">
      <c r="A24" s="135" t="s">
        <v>274</v>
      </c>
      <c r="B24" s="7" t="s">
        <v>17</v>
      </c>
      <c r="C24" s="8" t="s">
        <v>272</v>
      </c>
      <c r="D24" s="9" t="s">
        <v>273</v>
      </c>
      <c r="E24" s="155" t="s">
        <v>2</v>
      </c>
      <c r="F24" s="136">
        <v>84</v>
      </c>
      <c r="G24" s="214">
        <v>63.2</v>
      </c>
      <c r="H24" s="68">
        <v>13.7</v>
      </c>
      <c r="I24" s="211">
        <f t="shared" si="2"/>
        <v>76.900000000000006</v>
      </c>
      <c r="J24" s="214">
        <f>ROUND((G24*$D$5),2)</f>
        <v>78.150000000000006</v>
      </c>
      <c r="K24" s="68">
        <f>ROUND((H24*$D$5),2)</f>
        <v>16.940000000000001</v>
      </c>
      <c r="L24" s="211">
        <f t="shared" si="5"/>
        <v>95.09</v>
      </c>
      <c r="M24" s="214">
        <f t="shared" si="6"/>
        <v>6564.6</v>
      </c>
      <c r="N24" s="214">
        <f t="shared" si="7"/>
        <v>1422.96</v>
      </c>
      <c r="O24" s="228">
        <f t="shared" si="8"/>
        <v>7987.56</v>
      </c>
      <c r="Q24" s="67"/>
    </row>
    <row r="25" spans="1:17">
      <c r="G25" s="219"/>
      <c r="H25" s="219"/>
      <c r="I25" s="219"/>
      <c r="P25"/>
    </row>
    <row r="26" spans="1:17" ht="19.5">
      <c r="G26" s="220"/>
      <c r="H26" s="220"/>
      <c r="I26" s="220"/>
      <c r="J26" s="257"/>
      <c r="M26" s="261">
        <f t="shared" ref="M26:N26" si="10">ROUND((SUM(M13,M10)),2)</f>
        <v>510323.35</v>
      </c>
      <c r="N26" s="260">
        <f t="shared" si="10"/>
        <v>150655.31</v>
      </c>
      <c r="O26" s="159">
        <f>ROUND((SUM(O13,O10)),2)</f>
        <v>660978.66</v>
      </c>
      <c r="P26"/>
    </row>
    <row r="27" spans="1:17" ht="15.75">
      <c r="G27" s="221"/>
      <c r="H27" s="221"/>
      <c r="I27" s="221"/>
      <c r="M27" s="221"/>
      <c r="N27" s="221"/>
      <c r="O27" s="225"/>
      <c r="P27"/>
    </row>
    <row r="28" spans="1:17">
      <c r="C28" s="67"/>
      <c r="D28" s="41"/>
      <c r="P28"/>
    </row>
    <row r="29" spans="1:17" ht="33" customHeight="1">
      <c r="P29"/>
    </row>
    <row r="30" spans="1:17">
      <c r="C30" s="67"/>
      <c r="M30" s="273" t="s">
        <v>295</v>
      </c>
      <c r="N30" s="273"/>
      <c r="O30" s="273"/>
      <c r="P30"/>
    </row>
    <row r="31" spans="1:17">
      <c r="C31" s="67"/>
      <c r="M31" s="274"/>
      <c r="N31" s="274"/>
      <c r="O31" s="274"/>
      <c r="P31"/>
    </row>
    <row r="32" spans="1:17" ht="15" customHeight="1">
      <c r="C32" s="67"/>
      <c r="M32" s="263" t="s">
        <v>296</v>
      </c>
      <c r="N32" s="263"/>
      <c r="O32" s="263"/>
      <c r="P32"/>
    </row>
    <row r="33" spans="3:16">
      <c r="C33" s="67"/>
      <c r="P33"/>
    </row>
    <row r="34" spans="3:16">
      <c r="P34"/>
    </row>
    <row r="35" spans="3:16">
      <c r="P35"/>
    </row>
    <row r="36" spans="3:16">
      <c r="P36"/>
    </row>
    <row r="37" spans="3:16">
      <c r="P37"/>
    </row>
    <row r="38" spans="3:16">
      <c r="P38"/>
    </row>
    <row r="39" spans="3:16">
      <c r="P39"/>
    </row>
    <row r="40" spans="3:16">
      <c r="P40"/>
    </row>
    <row r="41" spans="3:16">
      <c r="E41" s="161"/>
      <c r="P41"/>
    </row>
    <row r="42" spans="3:16">
      <c r="E42" s="161"/>
      <c r="P42"/>
    </row>
    <row r="43" spans="3:16">
      <c r="D43" s="157"/>
      <c r="P43"/>
    </row>
    <row r="44" spans="3:16">
      <c r="P44"/>
    </row>
    <row r="45" spans="3:16">
      <c r="P45"/>
    </row>
    <row r="46" spans="3:16">
      <c r="P46"/>
    </row>
    <row r="47" spans="3:16">
      <c r="P47"/>
    </row>
    <row r="48" spans="3:16">
      <c r="P48"/>
    </row>
    <row r="49" spans="16:16">
      <c r="P49"/>
    </row>
    <row r="50" spans="16:16">
      <c r="P50"/>
    </row>
    <row r="51" spans="16:16">
      <c r="P51"/>
    </row>
    <row r="52" spans="16:16">
      <c r="P52"/>
    </row>
    <row r="53" spans="16:16">
      <c r="P53"/>
    </row>
    <row r="54" spans="16:16">
      <c r="P54"/>
    </row>
    <row r="55" spans="16:16">
      <c r="P55"/>
    </row>
    <row r="56" spans="16:16">
      <c r="P56"/>
    </row>
    <row r="57" spans="16:16">
      <c r="P57"/>
    </row>
    <row r="58" spans="16:16">
      <c r="P58"/>
    </row>
    <row r="59" spans="16:16">
      <c r="P59"/>
    </row>
    <row r="60" spans="16:16">
      <c r="P60"/>
    </row>
    <row r="61" spans="16:16">
      <c r="P61"/>
    </row>
    <row r="62" spans="16:16">
      <c r="P62"/>
    </row>
    <row r="63" spans="16:16">
      <c r="P63"/>
    </row>
    <row r="64" spans="16:16">
      <c r="P64"/>
    </row>
    <row r="65" spans="10:16">
      <c r="P65"/>
    </row>
    <row r="66" spans="10:16">
      <c r="P66"/>
    </row>
    <row r="67" spans="10:16">
      <c r="P67"/>
    </row>
    <row r="68" spans="10:16">
      <c r="P68"/>
    </row>
    <row r="69" spans="10:16">
      <c r="P69"/>
    </row>
    <row r="70" spans="10:16">
      <c r="P70"/>
    </row>
    <row r="71" spans="10:16">
      <c r="P71"/>
    </row>
    <row r="72" spans="10:16">
      <c r="P72"/>
    </row>
    <row r="73" spans="10:16">
      <c r="P73"/>
    </row>
    <row r="74" spans="10:16">
      <c r="P74"/>
    </row>
    <row r="75" spans="10:16">
      <c r="P75"/>
    </row>
    <row r="76" spans="10:16">
      <c r="P76"/>
    </row>
    <row r="77" spans="10:16">
      <c r="P77"/>
    </row>
    <row r="78" spans="10:16">
      <c r="P78"/>
    </row>
    <row r="79" spans="10:16">
      <c r="J79" s="221"/>
      <c r="K79" s="221"/>
      <c r="L79" s="221"/>
    </row>
  </sheetData>
  <mergeCells count="13">
    <mergeCell ref="M32:O32"/>
    <mergeCell ref="M7:N7"/>
    <mergeCell ref="A1:O1"/>
    <mergeCell ref="B13:F13"/>
    <mergeCell ref="A3:O3"/>
    <mergeCell ref="A4:D4"/>
    <mergeCell ref="B10:F10"/>
    <mergeCell ref="A5:B5"/>
    <mergeCell ref="A6:D6"/>
    <mergeCell ref="G7:I7"/>
    <mergeCell ref="J7:L7"/>
    <mergeCell ref="M30:O31"/>
    <mergeCell ref="A9:G9"/>
  </mergeCells>
  <printOptions horizontalCentered="1" verticalCentered="1"/>
  <pageMargins left="0.19685039370078741" right="0.19685039370078741" top="0.11811023622047245" bottom="0.11811023622047245" header="0.19685039370078741" footer="0.19685039370078741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sqref="A1:G18"/>
    </sheetView>
  </sheetViews>
  <sheetFormatPr defaultRowHeight="15"/>
  <cols>
    <col min="1" max="2" width="26" customWidth="1"/>
    <col min="3" max="3" width="50.85546875" customWidth="1"/>
    <col min="4" max="4" width="10.5703125" bestFit="1" customWidth="1"/>
    <col min="5" max="5" width="9.28515625" bestFit="1" customWidth="1"/>
    <col min="6" max="6" width="15.140625" bestFit="1" customWidth="1"/>
    <col min="7" max="7" width="15.140625" customWidth="1"/>
  </cols>
  <sheetData>
    <row r="1" spans="1:9">
      <c r="A1" s="301" t="s">
        <v>286</v>
      </c>
      <c r="B1" s="302"/>
      <c r="C1" s="302"/>
      <c r="D1" s="302"/>
      <c r="E1" s="302"/>
      <c r="F1" s="302"/>
      <c r="G1" s="303"/>
    </row>
    <row r="2" spans="1:9" ht="60.75" thickBot="1">
      <c r="A2" s="304" t="s">
        <v>287</v>
      </c>
      <c r="B2" s="305"/>
      <c r="C2" s="306" t="s">
        <v>288</v>
      </c>
      <c r="D2" s="306"/>
      <c r="E2" s="306" t="s">
        <v>297</v>
      </c>
      <c r="F2" s="306"/>
      <c r="G2" s="254" t="s">
        <v>298</v>
      </c>
    </row>
    <row r="3" spans="1:9" ht="16.5" thickTop="1" thickBot="1">
      <c r="A3" s="307" t="s">
        <v>289</v>
      </c>
      <c r="B3" s="308"/>
      <c r="C3" s="308"/>
      <c r="D3" s="308"/>
      <c r="E3" s="308"/>
      <c r="F3" s="308"/>
      <c r="G3" s="309"/>
    </row>
    <row r="4" spans="1:9" ht="16.5" thickTop="1" thickBot="1"/>
    <row r="5" spans="1:9" ht="15.75" thickTop="1">
      <c r="A5" s="279" t="s">
        <v>241</v>
      </c>
      <c r="B5" s="281" t="s">
        <v>240</v>
      </c>
      <c r="C5" s="281"/>
      <c r="D5" s="233"/>
      <c r="E5" s="233" t="s">
        <v>242</v>
      </c>
      <c r="F5" s="234">
        <f>G10+G11+G12+G13+I16</f>
        <v>260.65000000000003</v>
      </c>
      <c r="G5" s="283">
        <f>F5+F6</f>
        <v>321.47210000000001</v>
      </c>
    </row>
    <row r="6" spans="1:9">
      <c r="A6" s="280"/>
      <c r="B6" s="282"/>
      <c r="C6" s="282"/>
      <c r="D6" s="235"/>
      <c r="E6" s="235" t="s">
        <v>243</v>
      </c>
      <c r="F6" s="236">
        <f>G14+G15+I17</f>
        <v>60.822099999999999</v>
      </c>
      <c r="G6" s="284"/>
    </row>
    <row r="7" spans="1:9">
      <c r="A7" s="237" t="s">
        <v>244</v>
      </c>
      <c r="B7" s="238" t="s">
        <v>0</v>
      </c>
      <c r="C7" s="239"/>
      <c r="D7" s="240"/>
      <c r="E7" s="241" t="s">
        <v>245</v>
      </c>
      <c r="F7" s="242">
        <v>0.2278</v>
      </c>
      <c r="G7" s="243"/>
    </row>
    <row r="8" spans="1:9">
      <c r="A8" s="285" t="s">
        <v>246</v>
      </c>
      <c r="B8" s="287" t="s">
        <v>247</v>
      </c>
      <c r="C8" s="287" t="s">
        <v>248</v>
      </c>
      <c r="D8" s="287" t="s">
        <v>249</v>
      </c>
      <c r="E8" s="289" t="s">
        <v>250</v>
      </c>
      <c r="F8" s="287" t="s">
        <v>251</v>
      </c>
      <c r="G8" s="287" t="s">
        <v>58</v>
      </c>
    </row>
    <row r="9" spans="1:9">
      <c r="A9" s="286"/>
      <c r="B9" s="288"/>
      <c r="C9" s="288"/>
      <c r="D9" s="288"/>
      <c r="E9" s="290"/>
      <c r="F9" s="288"/>
      <c r="G9" s="288"/>
    </row>
    <row r="10" spans="1:9" ht="38.25">
      <c r="A10" s="244" t="s">
        <v>252</v>
      </c>
      <c r="B10" s="245" t="s">
        <v>253</v>
      </c>
      <c r="C10" s="246" t="s">
        <v>254</v>
      </c>
      <c r="D10" s="247" t="s">
        <v>2</v>
      </c>
      <c r="E10" s="248">
        <v>1</v>
      </c>
      <c r="F10" s="249">
        <v>4.32</v>
      </c>
      <c r="G10" s="250">
        <f>F10*E10</f>
        <v>4.32</v>
      </c>
    </row>
    <row r="11" spans="1:9" ht="38.25">
      <c r="A11" s="244" t="s">
        <v>252</v>
      </c>
      <c r="B11" s="245" t="s">
        <v>255</v>
      </c>
      <c r="C11" s="246" t="s">
        <v>256</v>
      </c>
      <c r="D11" s="247" t="s">
        <v>2</v>
      </c>
      <c r="E11" s="248">
        <v>4</v>
      </c>
      <c r="F11" s="249">
        <v>6.59</v>
      </c>
      <c r="G11" s="250">
        <f t="shared" ref="G11:G15" si="0">F11*E11</f>
        <v>26.36</v>
      </c>
    </row>
    <row r="12" spans="1:9" ht="38.25">
      <c r="A12" s="244" t="s">
        <v>252</v>
      </c>
      <c r="B12" s="245" t="s">
        <v>257</v>
      </c>
      <c r="C12" s="246" t="s">
        <v>258</v>
      </c>
      <c r="D12" s="247" t="s">
        <v>0</v>
      </c>
      <c r="E12" s="248">
        <v>1</v>
      </c>
      <c r="F12" s="249">
        <v>225</v>
      </c>
      <c r="G12" s="250">
        <f t="shared" si="0"/>
        <v>225</v>
      </c>
    </row>
    <row r="13" spans="1:9" ht="25.5">
      <c r="A13" s="244" t="s">
        <v>252</v>
      </c>
      <c r="B13" s="245" t="s">
        <v>259</v>
      </c>
      <c r="C13" s="246" t="s">
        <v>260</v>
      </c>
      <c r="D13" s="247" t="s">
        <v>30</v>
      </c>
      <c r="E13" s="248">
        <v>0.11</v>
      </c>
      <c r="F13" s="249">
        <v>21.35</v>
      </c>
      <c r="G13" s="250">
        <f t="shared" si="0"/>
        <v>2.3485</v>
      </c>
    </row>
    <row r="14" spans="1:9" ht="25.5">
      <c r="A14" s="244" t="s">
        <v>261</v>
      </c>
      <c r="B14" s="245" t="s">
        <v>262</v>
      </c>
      <c r="C14" s="246" t="s">
        <v>263</v>
      </c>
      <c r="D14" s="247" t="s">
        <v>264</v>
      </c>
      <c r="E14" s="248">
        <v>1</v>
      </c>
      <c r="F14" s="249">
        <v>22.53</v>
      </c>
      <c r="G14" s="250">
        <f t="shared" si="0"/>
        <v>22.53</v>
      </c>
    </row>
    <row r="15" spans="1:9">
      <c r="A15" s="244" t="s">
        <v>261</v>
      </c>
      <c r="B15" s="245" t="s">
        <v>265</v>
      </c>
      <c r="C15" s="246" t="s">
        <v>266</v>
      </c>
      <c r="D15" s="247" t="s">
        <v>264</v>
      </c>
      <c r="E15" s="248">
        <v>2</v>
      </c>
      <c r="F15" s="249">
        <v>18.84</v>
      </c>
      <c r="G15" s="250">
        <f t="shared" si="0"/>
        <v>37.68</v>
      </c>
    </row>
    <row r="16" spans="1:9" ht="22.5" customHeight="1">
      <c r="A16" s="291" t="s">
        <v>261</v>
      </c>
      <c r="B16" s="293" t="s">
        <v>267</v>
      </c>
      <c r="C16" s="295" t="s">
        <v>268</v>
      </c>
      <c r="D16" s="297" t="s">
        <v>1</v>
      </c>
      <c r="E16" s="299">
        <v>0.01</v>
      </c>
      <c r="F16" s="249">
        <f>0.71+261.44</f>
        <v>262.14999999999998</v>
      </c>
      <c r="G16" s="277">
        <f>E16*(F16+F17)</f>
        <v>3.2335999999999996</v>
      </c>
      <c r="H16" s="249" t="s">
        <v>270</v>
      </c>
      <c r="I16" s="249">
        <f>F16*E16</f>
        <v>2.6214999999999997</v>
      </c>
    </row>
    <row r="17" spans="1:9" ht="22.5" customHeight="1">
      <c r="A17" s="292"/>
      <c r="B17" s="294"/>
      <c r="C17" s="296"/>
      <c r="D17" s="298"/>
      <c r="E17" s="300"/>
      <c r="F17" s="249">
        <f>60.22+0.99</f>
        <v>61.21</v>
      </c>
      <c r="G17" s="278"/>
      <c r="H17" s="249" t="s">
        <v>271</v>
      </c>
      <c r="I17" s="249">
        <f>F17*E16</f>
        <v>0.61209999999999998</v>
      </c>
    </row>
    <row r="18" spans="1:9">
      <c r="A18" s="251"/>
      <c r="B18" s="251"/>
      <c r="C18" s="251"/>
      <c r="D18" s="251"/>
      <c r="E18" s="251"/>
      <c r="F18" s="252" t="s">
        <v>269</v>
      </c>
      <c r="G18" s="253">
        <f>SUM(G10:G17)</f>
        <v>321.47210000000001</v>
      </c>
    </row>
  </sheetData>
  <mergeCells count="21">
    <mergeCell ref="A1:G1"/>
    <mergeCell ref="A2:B2"/>
    <mergeCell ref="C2:D2"/>
    <mergeCell ref="E2:F2"/>
    <mergeCell ref="A3:G3"/>
    <mergeCell ref="G16:G17"/>
    <mergeCell ref="A5:A6"/>
    <mergeCell ref="B5:C6"/>
    <mergeCell ref="G5:G6"/>
    <mergeCell ref="A8:A9"/>
    <mergeCell ref="B8:B9"/>
    <mergeCell ref="C8:C9"/>
    <mergeCell ref="D8:D9"/>
    <mergeCell ref="E8:E9"/>
    <mergeCell ref="F8:F9"/>
    <mergeCell ref="G8:G9"/>
    <mergeCell ref="A16:A17"/>
    <mergeCell ref="B16:B17"/>
    <mergeCell ref="C16:C17"/>
    <mergeCell ref="D16:D17"/>
    <mergeCell ref="E16:E17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90"/>
  <sheetViews>
    <sheetView topLeftCell="A117" workbookViewId="0">
      <selection activeCell="G100" sqref="G100:H100"/>
    </sheetView>
  </sheetViews>
  <sheetFormatPr defaultRowHeight="15"/>
  <cols>
    <col min="1" max="1" width="31.140625" customWidth="1"/>
    <col min="2" max="2" width="18.7109375" customWidth="1"/>
    <col min="3" max="3" width="13.5703125" bestFit="1" customWidth="1"/>
    <col min="4" max="4" width="22.5703125" customWidth="1"/>
    <col min="5" max="5" width="21" bestFit="1" customWidth="1"/>
    <col min="6" max="6" width="10.140625" customWidth="1"/>
    <col min="8" max="8" width="22.85546875" style="13" bestFit="1" customWidth="1"/>
    <col min="9" max="9" width="11.7109375" style="13" customWidth="1"/>
    <col min="10" max="10" width="32.42578125" bestFit="1" customWidth="1"/>
    <col min="11" max="11" width="14.42578125" style="13" bestFit="1" customWidth="1"/>
    <col min="12" max="12" width="10.7109375" bestFit="1" customWidth="1"/>
    <col min="15" max="15" width="10" bestFit="1" customWidth="1"/>
    <col min="16" max="16" width="5.42578125" style="70" customWidth="1"/>
    <col min="18" max="19" width="12.7109375" customWidth="1"/>
  </cols>
  <sheetData>
    <row r="1" spans="1:19" ht="15.75" thickTop="1">
      <c r="A1" s="329" t="s">
        <v>90</v>
      </c>
      <c r="B1" s="330"/>
    </row>
    <row r="2" spans="1:19">
      <c r="A2" s="91" t="s">
        <v>91</v>
      </c>
      <c r="B2" s="92" t="s">
        <v>93</v>
      </c>
      <c r="H2" s="87"/>
      <c r="I2" s="87"/>
      <c r="K2" s="87"/>
    </row>
    <row r="3" spans="1:19">
      <c r="A3" s="91" t="s">
        <v>92</v>
      </c>
      <c r="B3" s="92" t="s">
        <v>94</v>
      </c>
      <c r="H3" s="87"/>
      <c r="I3" s="87"/>
      <c r="K3" s="87"/>
    </row>
    <row r="4" spans="1:19" ht="15.75" thickBot="1">
      <c r="A4" s="93" t="s">
        <v>95</v>
      </c>
      <c r="B4" s="94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123"/>
      <c r="Q4" s="95"/>
      <c r="R4" s="95"/>
    </row>
    <row r="5" spans="1:19" ht="16.5" thickTop="1" thickBot="1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124"/>
      <c r="Q5" s="86"/>
      <c r="R5" s="86"/>
    </row>
    <row r="6" spans="1:19" ht="16.5" thickTop="1" thickBot="1">
      <c r="N6" s="362" t="s">
        <v>109</v>
      </c>
      <c r="O6" s="363"/>
      <c r="P6" s="43"/>
      <c r="R6" s="338" t="s">
        <v>110</v>
      </c>
      <c r="S6" s="339"/>
    </row>
    <row r="7" spans="1:19" ht="30.75" customHeight="1" thickTop="1" thickBot="1">
      <c r="A7" s="336" t="s">
        <v>23</v>
      </c>
      <c r="B7" s="337"/>
      <c r="N7" s="360" t="s">
        <v>74</v>
      </c>
      <c r="O7" s="361"/>
      <c r="P7" s="43"/>
      <c r="R7" s="115" t="s">
        <v>111</v>
      </c>
      <c r="S7" s="116" t="s">
        <v>112</v>
      </c>
    </row>
    <row r="8" spans="1:19" ht="15.75" thickTop="1">
      <c r="A8" s="334" t="s">
        <v>24</v>
      </c>
      <c r="B8" s="335"/>
      <c r="N8" s="112"/>
      <c r="O8" s="113">
        <v>26088.137999999999</v>
      </c>
      <c r="P8" s="125"/>
      <c r="R8" s="117">
        <v>994930.67200000002</v>
      </c>
      <c r="S8" s="118">
        <v>999328586</v>
      </c>
    </row>
    <row r="9" spans="1:19">
      <c r="A9" s="27" t="s">
        <v>22</v>
      </c>
      <c r="B9" s="31">
        <v>1.48</v>
      </c>
      <c r="N9" s="112"/>
      <c r="O9" s="113">
        <v>2294.8969999999999</v>
      </c>
      <c r="P9" s="125"/>
      <c r="R9" s="117">
        <v>585699.19400000002</v>
      </c>
      <c r="S9" s="118">
        <v>585699194</v>
      </c>
    </row>
    <row r="10" spans="1:19">
      <c r="A10" s="333" t="s">
        <v>63</v>
      </c>
      <c r="B10" s="30">
        <v>2.25</v>
      </c>
      <c r="D10" s="48"/>
      <c r="N10" s="112"/>
      <c r="O10" s="113">
        <v>29300.774000000001</v>
      </c>
      <c r="P10" s="125"/>
      <c r="R10" s="117">
        <v>1975471.8</v>
      </c>
      <c r="S10" s="118">
        <v>1582678611</v>
      </c>
    </row>
    <row r="11" spans="1:19">
      <c r="A11" s="333"/>
      <c r="B11" s="30">
        <v>5.8</v>
      </c>
      <c r="D11" s="48"/>
      <c r="E11" s="18"/>
      <c r="N11" s="112"/>
      <c r="O11" s="113">
        <v>8769.8080000000009</v>
      </c>
      <c r="P11" s="125"/>
      <c r="R11" s="117"/>
      <c r="S11" s="118">
        <v>399104378</v>
      </c>
    </row>
    <row r="12" spans="1:19">
      <c r="A12" s="32" t="s">
        <v>33</v>
      </c>
      <c r="B12" s="28">
        <f>E24</f>
        <v>547</v>
      </c>
      <c r="D12" s="45"/>
      <c r="E12" s="44"/>
      <c r="N12" s="112"/>
      <c r="O12" s="114">
        <v>3619.413</v>
      </c>
      <c r="P12" s="43"/>
      <c r="R12" s="117"/>
      <c r="S12" s="119"/>
    </row>
    <row r="13" spans="1:19" ht="15.75" thickBot="1">
      <c r="A13" s="29" t="s">
        <v>26</v>
      </c>
      <c r="B13" s="71">
        <f>B12*B9*1.1</f>
        <v>890.51599999999996</v>
      </c>
      <c r="D13" s="46"/>
      <c r="E13" s="47"/>
      <c r="N13" s="112"/>
      <c r="O13" s="114"/>
      <c r="P13" s="43"/>
      <c r="R13" s="117"/>
      <c r="S13" s="119"/>
    </row>
    <row r="14" spans="1:19" ht="16.5" thickTop="1" thickBot="1">
      <c r="B14" s="11"/>
      <c r="M14" s="120" t="s">
        <v>27</v>
      </c>
      <c r="N14" s="121"/>
      <c r="O14" s="111">
        <f>SUM(O8:O13)/100</f>
        <v>700.73029999999994</v>
      </c>
      <c r="P14" s="126"/>
      <c r="Q14" s="120" t="s">
        <v>27</v>
      </c>
      <c r="R14" s="122">
        <f>(SUM(R8:R13))/10000</f>
        <v>355.61016660000001</v>
      </c>
      <c r="S14" s="110">
        <f>(SUM(S8:S12))/10000</f>
        <v>356681.07689999999</v>
      </c>
    </row>
    <row r="15" spans="1:19" ht="15.75" thickTop="1">
      <c r="H15" s="353" t="s">
        <v>34</v>
      </c>
      <c r="I15" s="354"/>
      <c r="K15" s="184" t="s">
        <v>117</v>
      </c>
    </row>
    <row r="16" spans="1:19">
      <c r="H16" s="17">
        <v>0.15</v>
      </c>
      <c r="I16" s="17">
        <v>0.3</v>
      </c>
      <c r="K16" s="185">
        <v>0.5</v>
      </c>
    </row>
    <row r="17" spans="1:15" ht="15.75" thickBot="1">
      <c r="K17" s="185">
        <v>0.4</v>
      </c>
    </row>
    <row r="18" spans="1:15" ht="16.5" thickTop="1" thickBot="1">
      <c r="A18" s="331" t="s">
        <v>107</v>
      </c>
      <c r="B18" s="332"/>
      <c r="D18" s="355" t="s">
        <v>83</v>
      </c>
      <c r="E18" s="356"/>
      <c r="F18" s="357"/>
      <c r="H18" s="15" t="s">
        <v>36</v>
      </c>
      <c r="I18" s="16">
        <f>PRODUCT(H16,I16,H21)</f>
        <v>6.165</v>
      </c>
      <c r="K18" s="185">
        <v>137</v>
      </c>
      <c r="N18" t="s">
        <v>209</v>
      </c>
    </row>
    <row r="19" spans="1:15" ht="15.75" thickTop="1">
      <c r="A19" s="38" t="s">
        <v>25</v>
      </c>
      <c r="B19" s="39">
        <f>28.5*44</f>
        <v>1254</v>
      </c>
      <c r="D19" s="38" t="s">
        <v>65</v>
      </c>
      <c r="E19" s="54"/>
      <c r="F19" s="39">
        <v>406</v>
      </c>
      <c r="J19" s="183" t="s">
        <v>27</v>
      </c>
      <c r="K19" s="186">
        <f>ROUND((PRODUCT(K16:K18)),2)</f>
        <v>27.4</v>
      </c>
      <c r="N19" t="s">
        <v>212</v>
      </c>
      <c r="O19">
        <v>14497.056</v>
      </c>
    </row>
    <row r="20" spans="1:15">
      <c r="A20" s="33" t="s">
        <v>31</v>
      </c>
      <c r="B20" s="34">
        <f>26.5*42</f>
        <v>1113</v>
      </c>
      <c r="D20" s="33" t="s">
        <v>66</v>
      </c>
      <c r="E20" s="51"/>
      <c r="F20" s="34">
        <f>F19</f>
        <v>406</v>
      </c>
      <c r="H20" s="14" t="s">
        <v>35</v>
      </c>
      <c r="O20">
        <v>8600</v>
      </c>
    </row>
    <row r="21" spans="1:15" ht="15.75" thickBot="1">
      <c r="A21" s="35" t="s">
        <v>32</v>
      </c>
      <c r="B21" s="34">
        <f>B19-B20</f>
        <v>141</v>
      </c>
      <c r="D21" s="52" t="s">
        <v>69</v>
      </c>
      <c r="E21" s="53"/>
      <c r="F21" s="55">
        <f>F20*0.1</f>
        <v>40.6</v>
      </c>
      <c r="H21" s="24">
        <f>26.5+26.5+42+42</f>
        <v>137</v>
      </c>
      <c r="O21" s="193">
        <f>((SUM(O19:O20)/100))</f>
        <v>230.97056000000001</v>
      </c>
    </row>
    <row r="22" spans="1:15" ht="16.5" thickTop="1" thickBot="1">
      <c r="A22" s="36" t="s">
        <v>68</v>
      </c>
      <c r="B22" s="37">
        <f>B21*0.1</f>
        <v>14.100000000000001</v>
      </c>
      <c r="G22" s="70"/>
      <c r="H22" s="187"/>
      <c r="I22" s="188"/>
    </row>
    <row r="23" spans="1:15" ht="16.5" thickTop="1" thickBot="1">
      <c r="D23" s="18"/>
      <c r="G23" s="70"/>
      <c r="H23" s="188"/>
      <c r="I23" s="188"/>
    </row>
    <row r="24" spans="1:15" ht="16.5" thickTop="1" thickBot="1">
      <c r="A24" s="331" t="s">
        <v>108</v>
      </c>
      <c r="B24" s="332"/>
      <c r="D24" s="96" t="s">
        <v>67</v>
      </c>
      <c r="E24" s="190">
        <f>F20+B21</f>
        <v>547</v>
      </c>
      <c r="H24" s="344" t="s">
        <v>64</v>
      </c>
      <c r="I24" s="344"/>
      <c r="J24" s="344"/>
      <c r="K24" s="344"/>
    </row>
    <row r="25" spans="1:15" ht="31.5" thickTop="1" thickBot="1">
      <c r="A25" s="56" t="s">
        <v>59</v>
      </c>
      <c r="B25" s="57">
        <f>B20*0.05</f>
        <v>55.650000000000006</v>
      </c>
      <c r="D25" s="97" t="s">
        <v>70</v>
      </c>
      <c r="E25" s="189">
        <f>F21+B22</f>
        <v>54.7</v>
      </c>
      <c r="H25" s="343" t="s">
        <v>37</v>
      </c>
      <c r="I25" s="343"/>
      <c r="J25" s="26" t="s">
        <v>40</v>
      </c>
      <c r="K25" s="12"/>
    </row>
    <row r="26" spans="1:15" ht="15.75" thickTop="1">
      <c r="A26" s="49" t="s">
        <v>60</v>
      </c>
      <c r="B26" s="58">
        <f>B20*0.03</f>
        <v>33.39</v>
      </c>
      <c r="H26" s="19" t="s">
        <v>38</v>
      </c>
      <c r="I26" s="20">
        <v>4</v>
      </c>
      <c r="J26" s="10" t="s">
        <v>41</v>
      </c>
      <c r="K26" s="21">
        <v>0.15</v>
      </c>
    </row>
    <row r="27" spans="1:15" ht="15.75" thickBot="1">
      <c r="A27" s="50" t="s">
        <v>61</v>
      </c>
      <c r="B27" s="59">
        <f>B20*0.03</f>
        <v>33.39</v>
      </c>
      <c r="H27" s="19" t="s">
        <v>35</v>
      </c>
      <c r="I27" s="21">
        <v>137</v>
      </c>
      <c r="J27" s="10" t="s">
        <v>42</v>
      </c>
      <c r="K27" s="20">
        <f>H21/K26</f>
        <v>913.33333333333337</v>
      </c>
    </row>
    <row r="28" spans="1:15" ht="15.75" thickTop="1">
      <c r="H28" s="19" t="s">
        <v>27</v>
      </c>
      <c r="I28" s="21">
        <f>I26*I27</f>
        <v>548</v>
      </c>
      <c r="J28" s="10" t="s">
        <v>43</v>
      </c>
      <c r="K28" s="21">
        <v>0.74</v>
      </c>
    </row>
    <row r="29" spans="1:15" ht="15.75" thickBot="1">
      <c r="H29" s="344" t="s">
        <v>39</v>
      </c>
      <c r="I29" s="346">
        <f>I28/12</f>
        <v>45.666666666666664</v>
      </c>
      <c r="J29" s="10" t="s">
        <v>44</v>
      </c>
      <c r="K29" s="21">
        <f>K27*K28</f>
        <v>675.86666666666667</v>
      </c>
    </row>
    <row r="30" spans="1:15" ht="15.75" thickTop="1">
      <c r="A30" s="98" t="s">
        <v>53</v>
      </c>
      <c r="B30" s="99" t="s">
        <v>0</v>
      </c>
      <c r="D30" s="341" t="s">
        <v>88</v>
      </c>
      <c r="E30" s="342"/>
      <c r="H30" s="344"/>
      <c r="I30" s="346"/>
      <c r="J30" s="10" t="s">
        <v>45</v>
      </c>
      <c r="K30" s="20">
        <f>K29/12</f>
        <v>56.322222222222223</v>
      </c>
    </row>
    <row r="31" spans="1:15">
      <c r="A31" s="102" t="s">
        <v>54</v>
      </c>
      <c r="B31" s="100">
        <v>85.28</v>
      </c>
      <c r="D31" s="102" t="s">
        <v>54</v>
      </c>
      <c r="E31" s="127">
        <v>33</v>
      </c>
    </row>
    <row r="32" spans="1:15">
      <c r="A32" s="102" t="s">
        <v>55</v>
      </c>
      <c r="B32" s="100">
        <v>78.900000000000006</v>
      </c>
      <c r="D32" s="102" t="s">
        <v>55</v>
      </c>
      <c r="E32" s="127">
        <v>17.450600000000001</v>
      </c>
      <c r="H32" s="343" t="s">
        <v>207</v>
      </c>
      <c r="I32" s="343"/>
      <c r="J32" s="345" t="s">
        <v>206</v>
      </c>
      <c r="K32" s="345"/>
    </row>
    <row r="33" spans="1:14">
      <c r="A33" s="102" t="s">
        <v>56</v>
      </c>
      <c r="B33" s="100">
        <v>71.900000000000006</v>
      </c>
      <c r="D33" s="102" t="s">
        <v>56</v>
      </c>
      <c r="E33" s="127"/>
      <c r="H33" s="12" t="s">
        <v>46</v>
      </c>
      <c r="I33" s="12">
        <v>7.4</v>
      </c>
      <c r="J33" s="10" t="s">
        <v>46</v>
      </c>
      <c r="K33" s="12">
        <v>1.85</v>
      </c>
    </row>
    <row r="34" spans="1:14" ht="15.75" thickBot="1">
      <c r="A34" s="103" t="s">
        <v>57</v>
      </c>
      <c r="B34" s="101">
        <f>(B31+B32+B33)/3</f>
        <v>78.693333333333342</v>
      </c>
      <c r="D34" s="103" t="s">
        <v>57</v>
      </c>
      <c r="E34" s="101">
        <f>(E31+E32+E33)/2</f>
        <v>25.225300000000001</v>
      </c>
      <c r="H34" s="12" t="s">
        <v>47</v>
      </c>
      <c r="I34" s="22">
        <f>I29*I33</f>
        <v>337.93333333333334</v>
      </c>
      <c r="J34" s="10" t="s">
        <v>47</v>
      </c>
      <c r="K34" s="22">
        <f>K30*K33</f>
        <v>104.19611111111112</v>
      </c>
    </row>
    <row r="35" spans="1:14" ht="15.75" thickTop="1"/>
    <row r="36" spans="1:14">
      <c r="A36" s="191"/>
      <c r="B36" s="191"/>
      <c r="D36" s="69" t="s">
        <v>89</v>
      </c>
      <c r="E36" s="128">
        <f>E34/B34</f>
        <v>0.32055193154862754</v>
      </c>
    </row>
    <row r="37" spans="1:14">
      <c r="A37" s="69"/>
      <c r="B37" s="69"/>
      <c r="H37" s="344" t="s">
        <v>52</v>
      </c>
      <c r="I37" s="344"/>
    </row>
    <row r="38" spans="1:14">
      <c r="A38" s="69" t="s">
        <v>31</v>
      </c>
      <c r="B38" s="198" t="e">
        <f>Orçamento!#REF!</f>
        <v>#REF!</v>
      </c>
      <c r="H38" s="12" t="s">
        <v>48</v>
      </c>
      <c r="I38" s="21">
        <f>0.15</f>
        <v>0.15</v>
      </c>
    </row>
    <row r="39" spans="1:14">
      <c r="B39" t="s">
        <v>224</v>
      </c>
      <c r="C39" t="s">
        <v>225</v>
      </c>
      <c r="D39" t="s">
        <v>226</v>
      </c>
      <c r="H39" s="12" t="s">
        <v>49</v>
      </c>
      <c r="I39" s="23">
        <f>H21</f>
        <v>137</v>
      </c>
    </row>
    <row r="40" spans="1:14">
      <c r="A40" s="69" t="s">
        <v>220</v>
      </c>
      <c r="B40" s="69">
        <v>0.03</v>
      </c>
      <c r="C40" t="e">
        <f>B38*B40</f>
        <v>#REF!</v>
      </c>
      <c r="D40" t="e">
        <f>C40/B38</f>
        <v>#REF!</v>
      </c>
      <c r="H40" s="12" t="s">
        <v>50</v>
      </c>
      <c r="I40" s="12">
        <v>2</v>
      </c>
    </row>
    <row r="41" spans="1:14">
      <c r="A41" s="69" t="s">
        <v>221</v>
      </c>
      <c r="B41" s="69">
        <v>0.03</v>
      </c>
      <c r="C41" t="e">
        <f>B38*B41</f>
        <v>#REF!</v>
      </c>
      <c r="H41" s="12" t="s">
        <v>51</v>
      </c>
      <c r="I41" s="25">
        <f>(I38*I39)*I40</f>
        <v>41.1</v>
      </c>
    </row>
    <row r="42" spans="1:14">
      <c r="A42" t="s">
        <v>222</v>
      </c>
      <c r="B42">
        <v>0.03</v>
      </c>
      <c r="C42" t="e">
        <f>B38*B42</f>
        <v>#REF!</v>
      </c>
    </row>
    <row r="43" spans="1:14">
      <c r="A43" t="s">
        <v>223</v>
      </c>
      <c r="B43">
        <v>0.05</v>
      </c>
      <c r="C43" t="e">
        <f>B38*B43</f>
        <v>#REF!</v>
      </c>
    </row>
    <row r="44" spans="1:14">
      <c r="K44" s="179"/>
      <c r="L44" s="180"/>
      <c r="M44" s="180"/>
      <c r="N44" s="180"/>
    </row>
    <row r="45" spans="1:14">
      <c r="K45" s="181"/>
      <c r="L45" s="181"/>
      <c r="M45" s="182"/>
      <c r="N45" s="182"/>
    </row>
    <row r="46" spans="1:14" ht="15.75" thickBot="1">
      <c r="H46" s="72" t="s">
        <v>71</v>
      </c>
      <c r="I46" s="73">
        <v>661.45</v>
      </c>
      <c r="K46" s="13">
        <v>3133409.909</v>
      </c>
    </row>
    <row r="47" spans="1:14" ht="24" customHeight="1" thickTop="1" thickBot="1">
      <c r="A47" s="351" t="s">
        <v>62</v>
      </c>
      <c r="B47" s="352"/>
      <c r="H47" s="74" t="s">
        <v>72</v>
      </c>
      <c r="I47" s="72">
        <v>0.1</v>
      </c>
      <c r="K47" s="13">
        <f>K46/10000</f>
        <v>313.34099090000001</v>
      </c>
    </row>
    <row r="48" spans="1:14" ht="15.75" thickTop="1">
      <c r="A48" s="108"/>
      <c r="B48" s="109"/>
      <c r="H48" s="72" t="s">
        <v>73</v>
      </c>
      <c r="I48" s="75">
        <f>I46*I47</f>
        <v>66.14500000000001</v>
      </c>
      <c r="K48" s="199">
        <f>K47*0.2</f>
        <v>62.668198180000005</v>
      </c>
    </row>
    <row r="49" spans="1:11">
      <c r="A49" s="104"/>
      <c r="B49" s="105">
        <v>88</v>
      </c>
    </row>
    <row r="50" spans="1:11">
      <c r="A50" s="104"/>
      <c r="B50" s="105">
        <v>4</v>
      </c>
    </row>
    <row r="51" spans="1:11">
      <c r="A51" s="104"/>
      <c r="B51" s="105">
        <f>5*10</f>
        <v>50</v>
      </c>
    </row>
    <row r="52" spans="1:11" ht="15.75" thickBot="1">
      <c r="A52" s="106" t="s">
        <v>27</v>
      </c>
      <c r="B52" s="107">
        <f>SUM(B48:B51)</f>
        <v>142</v>
      </c>
    </row>
    <row r="53" spans="1:11" ht="15.75" thickTop="1"/>
    <row r="54" spans="1:11" ht="15.75" thickBot="1">
      <c r="I54" s="40"/>
    </row>
    <row r="55" spans="1:11" ht="16.5" thickTop="1" thickBot="1">
      <c r="A55" s="351" t="s">
        <v>75</v>
      </c>
      <c r="B55" s="358"/>
      <c r="C55" s="358"/>
      <c r="D55" s="352"/>
    </row>
    <row r="56" spans="1:11" ht="16.5" thickTop="1" thickBot="1">
      <c r="A56" s="64"/>
      <c r="B56" s="200" t="s">
        <v>84</v>
      </c>
      <c r="C56" s="201" t="s">
        <v>85</v>
      </c>
      <c r="D56" s="202" t="s">
        <v>86</v>
      </c>
      <c r="E56" s="46" t="s">
        <v>57</v>
      </c>
      <c r="H56" s="46" t="s">
        <v>98</v>
      </c>
      <c r="I56" s="42"/>
      <c r="K56" s="42"/>
    </row>
    <row r="57" spans="1:11" ht="15.75" thickTop="1">
      <c r="A57" s="65" t="s">
        <v>76</v>
      </c>
      <c r="B57" s="203">
        <v>37900</v>
      </c>
      <c r="C57" s="204">
        <v>18900</v>
      </c>
      <c r="D57" s="347">
        <v>24900</v>
      </c>
      <c r="E57" s="207">
        <f>(B57+C57+(D57/3))/3</f>
        <v>21700</v>
      </c>
      <c r="H57">
        <v>6</v>
      </c>
    </row>
    <row r="58" spans="1:11">
      <c r="A58" s="65" t="s">
        <v>77</v>
      </c>
      <c r="B58" s="203">
        <v>3895</v>
      </c>
      <c r="C58" s="204">
        <v>2690</v>
      </c>
      <c r="D58" s="347"/>
      <c r="E58" s="208">
        <f>(B58+C58+(D57/3))/3</f>
        <v>4961.666666666667</v>
      </c>
      <c r="H58">
        <v>4</v>
      </c>
      <c r="I58" s="40"/>
    </row>
    <row r="59" spans="1:11">
      <c r="A59" s="65" t="s">
        <v>78</v>
      </c>
      <c r="B59" s="203">
        <v>3230</v>
      </c>
      <c r="C59" s="204">
        <v>3600</v>
      </c>
      <c r="D59" s="347"/>
      <c r="E59" s="208">
        <f>(B59+C59+(D57/3))/3</f>
        <v>5043.333333333333</v>
      </c>
      <c r="H59">
        <v>4</v>
      </c>
    </row>
    <row r="60" spans="1:11">
      <c r="A60" s="65" t="s">
        <v>80</v>
      </c>
      <c r="B60" s="203">
        <v>12600</v>
      </c>
      <c r="C60" s="204">
        <v>11500</v>
      </c>
      <c r="D60" s="348">
        <v>13900</v>
      </c>
      <c r="E60" s="208">
        <f>(B60+C60+(D60/2))/3</f>
        <v>10350</v>
      </c>
      <c r="H60">
        <v>4</v>
      </c>
    </row>
    <row r="61" spans="1:11">
      <c r="A61" s="65" t="s">
        <v>79</v>
      </c>
      <c r="B61" s="203">
        <v>10180</v>
      </c>
      <c r="C61" s="205"/>
      <c r="D61" s="349"/>
      <c r="E61" s="208">
        <f>(B61+(D60/2))/2</f>
        <v>8565</v>
      </c>
      <c r="H61">
        <v>4</v>
      </c>
    </row>
    <row r="62" spans="1:11" ht="15.75" thickBot="1">
      <c r="A62" s="66" t="s">
        <v>81</v>
      </c>
      <c r="B62" s="206"/>
      <c r="C62" s="204">
        <v>11980</v>
      </c>
      <c r="D62" s="350"/>
      <c r="E62" s="209">
        <f>(C62+(D60/2))/2</f>
        <v>9465</v>
      </c>
      <c r="H62">
        <v>4</v>
      </c>
    </row>
    <row r="63" spans="1:11" ht="16.5" thickTop="1" thickBot="1">
      <c r="A63" s="60" t="s">
        <v>82</v>
      </c>
      <c r="B63" s="61">
        <f>SUM(B57:B62)</f>
        <v>67805</v>
      </c>
      <c r="C63" s="62">
        <f t="shared" ref="C63:D63" si="0">SUM(C57:C62)</f>
        <v>48670</v>
      </c>
      <c r="D63" s="63">
        <f t="shared" si="0"/>
        <v>38800</v>
      </c>
    </row>
    <row r="64" spans="1:11" ht="15.75" thickTop="1"/>
    <row r="66" spans="1:10">
      <c r="A66" s="340" t="s">
        <v>96</v>
      </c>
      <c r="B66" s="340"/>
      <c r="C66" s="340"/>
      <c r="D66" s="340"/>
      <c r="E66" s="340"/>
      <c r="F66" s="340"/>
    </row>
    <row r="67" spans="1:10">
      <c r="A67" s="76" t="s">
        <v>90</v>
      </c>
      <c r="B67" s="73">
        <v>0.3</v>
      </c>
      <c r="C67" s="73">
        <v>0.3</v>
      </c>
      <c r="D67" s="73">
        <v>0.3</v>
      </c>
      <c r="E67" s="76" t="s">
        <v>97</v>
      </c>
      <c r="F67" s="75">
        <f>B67*C67*D67</f>
        <v>2.7E-2</v>
      </c>
    </row>
    <row r="68" spans="1:10">
      <c r="A68" s="76" t="s">
        <v>99</v>
      </c>
      <c r="B68" s="76">
        <f>SUM(H57:H59,H60:H61)</f>
        <v>22</v>
      </c>
      <c r="C68" s="77"/>
      <c r="D68" s="85"/>
      <c r="E68" s="76" t="s">
        <v>100</v>
      </c>
      <c r="F68" s="75">
        <f>B68*F67</f>
        <v>0.59399999999999997</v>
      </c>
    </row>
    <row r="70" spans="1:10">
      <c r="A70" s="77" t="s">
        <v>101</v>
      </c>
      <c r="B70" s="78">
        <f>F68</f>
        <v>0.59399999999999997</v>
      </c>
    </row>
    <row r="71" spans="1:10">
      <c r="A71" s="77" t="s">
        <v>102</v>
      </c>
      <c r="B71" s="78">
        <f>F68</f>
        <v>0.59399999999999997</v>
      </c>
    </row>
    <row r="76" spans="1:10" ht="15.75" thickBot="1">
      <c r="B76" s="359" t="s">
        <v>144</v>
      </c>
      <c r="C76" s="359"/>
      <c r="D76" s="359"/>
      <c r="E76" s="359"/>
      <c r="F76" s="359"/>
      <c r="G76" s="359"/>
    </row>
    <row r="77" spans="1:10" ht="15.75" thickTop="1">
      <c r="B77" s="318" t="s">
        <v>146</v>
      </c>
      <c r="C77" s="364" t="s">
        <v>123</v>
      </c>
      <c r="D77" s="144" t="s">
        <v>135</v>
      </c>
      <c r="E77" s="144" t="s">
        <v>136</v>
      </c>
      <c r="F77" s="146" t="s">
        <v>137</v>
      </c>
      <c r="G77" s="149" t="s">
        <v>152</v>
      </c>
      <c r="J77" s="224" t="s">
        <v>231</v>
      </c>
    </row>
    <row r="78" spans="1:10">
      <c r="B78" s="318"/>
      <c r="C78" s="365"/>
      <c r="D78" s="145">
        <v>0.3</v>
      </c>
      <c r="E78" s="145">
        <v>0.25</v>
      </c>
      <c r="F78" s="147">
        <v>1</v>
      </c>
      <c r="G78" s="150">
        <f>D78*E78*F78</f>
        <v>7.4999999999999997E-2</v>
      </c>
      <c r="I78" s="223" t="s">
        <v>232</v>
      </c>
      <c r="J78">
        <v>78</v>
      </c>
    </row>
    <row r="79" spans="1:10">
      <c r="B79" s="319" t="s">
        <v>145</v>
      </c>
      <c r="C79" s="366" t="s">
        <v>123</v>
      </c>
      <c r="D79" s="143" t="s">
        <v>139</v>
      </c>
      <c r="E79" s="323" t="s">
        <v>140</v>
      </c>
      <c r="F79" s="324"/>
      <c r="G79" s="151" t="s">
        <v>138</v>
      </c>
      <c r="I79" s="223" t="s">
        <v>142</v>
      </c>
      <c r="J79">
        <v>4</v>
      </c>
    </row>
    <row r="80" spans="1:10">
      <c r="B80" s="319"/>
      <c r="C80" s="367"/>
      <c r="D80" s="142">
        <f>0.3*0.25</f>
        <v>7.4999999999999997E-2</v>
      </c>
      <c r="E80" s="325">
        <f>D78*F78</f>
        <v>0.3</v>
      </c>
      <c r="F80" s="326"/>
      <c r="G80" s="152">
        <f>(D80*2)+(E80*2)</f>
        <v>0.75</v>
      </c>
      <c r="I80" s="223" t="s">
        <v>138</v>
      </c>
      <c r="J80">
        <f>J78*J79</f>
        <v>312</v>
      </c>
    </row>
    <row r="81" spans="2:14">
      <c r="B81" s="318" t="str">
        <f>UPPER("alvenaria tijolo maciço de 25")</f>
        <v>ALVENARIA TIJOLO MACIÇO DE 25</v>
      </c>
      <c r="C81" s="364" t="s">
        <v>123</v>
      </c>
      <c r="D81" s="144" t="s">
        <v>141</v>
      </c>
      <c r="E81" s="327" t="s">
        <v>142</v>
      </c>
      <c r="F81" s="328"/>
      <c r="G81" s="153" t="s">
        <v>138</v>
      </c>
      <c r="I81" s="223" t="s">
        <v>233</v>
      </c>
      <c r="J81">
        <v>2</v>
      </c>
    </row>
    <row r="82" spans="2:14">
      <c r="B82" s="318"/>
      <c r="C82" s="365"/>
      <c r="D82" s="145">
        <v>1</v>
      </c>
      <c r="E82" s="321">
        <v>2</v>
      </c>
      <c r="F82" s="322"/>
      <c r="G82" s="150">
        <f>D82*E82</f>
        <v>2</v>
      </c>
      <c r="I82" s="223" t="s">
        <v>234</v>
      </c>
      <c r="J82">
        <f>J80-J81</f>
        <v>310</v>
      </c>
      <c r="N82">
        <f>44*2</f>
        <v>88</v>
      </c>
    </row>
    <row r="83" spans="2:14">
      <c r="B83" s="319" t="s">
        <v>147</v>
      </c>
      <c r="C83" s="366" t="s">
        <v>123</v>
      </c>
      <c r="D83" s="143" t="s">
        <v>143</v>
      </c>
      <c r="E83" s="323" t="s">
        <v>140</v>
      </c>
      <c r="F83" s="324"/>
      <c r="G83" s="151" t="s">
        <v>138</v>
      </c>
      <c r="N83">
        <f>28.5*2</f>
        <v>57</v>
      </c>
    </row>
    <row r="84" spans="2:14">
      <c r="B84" s="319"/>
      <c r="C84" s="367"/>
      <c r="D84" s="142">
        <f>1*2</f>
        <v>2</v>
      </c>
      <c r="E84" s="142">
        <f>0.25*2</f>
        <v>0.5</v>
      </c>
      <c r="F84" s="148"/>
      <c r="G84" s="152">
        <f>(D84*2)+(E84*2)</f>
        <v>5</v>
      </c>
      <c r="J84" t="s">
        <v>235</v>
      </c>
      <c r="N84">
        <f>N82+N83</f>
        <v>145</v>
      </c>
    </row>
    <row r="85" spans="2:14">
      <c r="B85" s="320" t="s">
        <v>148</v>
      </c>
      <c r="C85" s="364"/>
      <c r="D85" s="145"/>
      <c r="E85" s="321"/>
      <c r="F85" s="322"/>
      <c r="G85" s="150"/>
      <c r="H85" s="141"/>
      <c r="I85" s="223" t="s">
        <v>142</v>
      </c>
      <c r="J85">
        <v>5</v>
      </c>
      <c r="K85" s="141"/>
    </row>
    <row r="86" spans="2:14">
      <c r="B86" s="320"/>
      <c r="C86" s="365"/>
      <c r="D86" s="145"/>
      <c r="E86" s="321"/>
      <c r="F86" s="322"/>
      <c r="G86" s="150"/>
      <c r="I86" s="223" t="s">
        <v>232</v>
      </c>
      <c r="J86">
        <v>145</v>
      </c>
    </row>
    <row r="87" spans="2:14">
      <c r="B87" s="319" t="s">
        <v>149</v>
      </c>
      <c r="C87" s="366" t="s">
        <v>123</v>
      </c>
      <c r="D87" s="143" t="s">
        <v>143</v>
      </c>
      <c r="E87" s="323" t="s">
        <v>140</v>
      </c>
      <c r="F87" s="324"/>
      <c r="G87" s="151" t="s">
        <v>138</v>
      </c>
      <c r="I87" s="223" t="s">
        <v>138</v>
      </c>
      <c r="J87">
        <f>J85*J86</f>
        <v>725</v>
      </c>
    </row>
    <row r="88" spans="2:14">
      <c r="B88" s="319"/>
      <c r="C88" s="367"/>
      <c r="D88" s="142">
        <f>1*2</f>
        <v>2</v>
      </c>
      <c r="E88" s="325">
        <f>0.25*2</f>
        <v>0.5</v>
      </c>
      <c r="F88" s="326"/>
      <c r="G88" s="152">
        <f>(D88*2)+(E88*2)</f>
        <v>5</v>
      </c>
    </row>
    <row r="89" spans="2:14">
      <c r="B89" s="320" t="s">
        <v>150</v>
      </c>
      <c r="C89" s="364" t="s">
        <v>123</v>
      </c>
      <c r="D89" s="144" t="s">
        <v>143</v>
      </c>
      <c r="E89" s="327" t="s">
        <v>140</v>
      </c>
      <c r="F89" s="328"/>
      <c r="G89" s="153" t="s">
        <v>138</v>
      </c>
    </row>
    <row r="90" spans="2:14" ht="15.75" thickBot="1">
      <c r="B90" s="320"/>
      <c r="C90" s="365"/>
      <c r="D90" s="145">
        <f>1*2</f>
        <v>2</v>
      </c>
      <c r="E90" s="321">
        <f>0.25*2</f>
        <v>0.5</v>
      </c>
      <c r="F90" s="322"/>
      <c r="G90" s="154">
        <f>(D90*2)+(E90*2)</f>
        <v>5</v>
      </c>
    </row>
    <row r="91" spans="2:14" ht="15.75" thickTop="1">
      <c r="B91" s="129"/>
    </row>
    <row r="98" spans="1:12" ht="21" customHeight="1">
      <c r="A98" s="368" t="s">
        <v>163</v>
      </c>
      <c r="B98" s="368"/>
      <c r="C98" s="368"/>
      <c r="D98" s="368"/>
      <c r="E98" s="368"/>
      <c r="F98" s="368"/>
      <c r="G98" s="368"/>
      <c r="H98" s="368"/>
      <c r="I98" s="368"/>
    </row>
    <row r="99" spans="1:12">
      <c r="I99" s="165"/>
    </row>
    <row r="100" spans="1:12">
      <c r="A100" s="311" t="s">
        <v>195</v>
      </c>
      <c r="B100" s="311"/>
      <c r="D100" s="311" t="s">
        <v>193</v>
      </c>
      <c r="E100" s="311"/>
      <c r="G100" s="311" t="s">
        <v>204</v>
      </c>
      <c r="H100" s="311"/>
      <c r="I100" s="165"/>
      <c r="K100" s="158" t="s">
        <v>173</v>
      </c>
    </row>
    <row r="101" spans="1:12">
      <c r="A101" s="314" t="s">
        <v>90</v>
      </c>
      <c r="B101" s="167">
        <v>0.6</v>
      </c>
      <c r="D101" s="314" t="s">
        <v>90</v>
      </c>
      <c r="E101" s="167">
        <v>1.2</v>
      </c>
      <c r="G101" s="167" t="s">
        <v>135</v>
      </c>
      <c r="H101" s="166">
        <v>6</v>
      </c>
      <c r="I101" s="158"/>
      <c r="K101" s="158" t="s">
        <v>169</v>
      </c>
      <c r="L101" t="s">
        <v>170</v>
      </c>
    </row>
    <row r="102" spans="1:12">
      <c r="A102" s="314"/>
      <c r="B102" s="167">
        <v>0.6</v>
      </c>
      <c r="D102" s="314"/>
      <c r="E102" s="167">
        <v>1.2</v>
      </c>
      <c r="G102" s="167" t="s">
        <v>205</v>
      </c>
      <c r="H102" s="166">
        <v>24</v>
      </c>
      <c r="I102" s="158"/>
      <c r="K102" s="158" t="s">
        <v>171</v>
      </c>
      <c r="L102" t="s">
        <v>172</v>
      </c>
    </row>
    <row r="103" spans="1:12">
      <c r="A103" s="314"/>
      <c r="B103" s="167">
        <v>0.7</v>
      </c>
      <c r="D103" s="314"/>
      <c r="E103" s="167">
        <v>1</v>
      </c>
      <c r="G103" s="167" t="s">
        <v>27</v>
      </c>
      <c r="H103" s="178">
        <f>ROUND((H101*H102),2)</f>
        <v>144</v>
      </c>
    </row>
    <row r="105" spans="1:12">
      <c r="A105" s="167" t="s">
        <v>165</v>
      </c>
      <c r="B105" s="167">
        <v>24</v>
      </c>
      <c r="D105" s="167" t="s">
        <v>166</v>
      </c>
      <c r="E105" s="172">
        <v>24</v>
      </c>
    </row>
    <row r="108" spans="1:12" ht="30">
      <c r="A108" s="167" t="s">
        <v>164</v>
      </c>
      <c r="B108" s="168">
        <f>B101*B102*B103</f>
        <v>0.252</v>
      </c>
      <c r="D108" s="177" t="s">
        <v>279</v>
      </c>
      <c r="E108" s="178">
        <f>ROUND((E101*E102*E103*E105),2)</f>
        <v>34.56</v>
      </c>
    </row>
    <row r="109" spans="1:12">
      <c r="A109" s="167" t="s">
        <v>278</v>
      </c>
      <c r="B109" s="172">
        <f>ROUND((B105*B108),2)</f>
        <v>6.05</v>
      </c>
    </row>
    <row r="111" spans="1:12">
      <c r="A111" s="167" t="s">
        <v>167</v>
      </c>
      <c r="B111" s="171">
        <f>ROUND((B101*B102*0.05*B105),2)</f>
        <v>0.43</v>
      </c>
    </row>
    <row r="112" spans="1:12" ht="30">
      <c r="D112" s="173" t="s">
        <v>277</v>
      </c>
      <c r="E112">
        <f>E108-B109</f>
        <v>28.51</v>
      </c>
    </row>
    <row r="115" spans="1:5">
      <c r="A115" s="311" t="s">
        <v>194</v>
      </c>
      <c r="B115" s="311"/>
    </row>
    <row r="116" spans="1:5">
      <c r="A116" s="369" t="s">
        <v>90</v>
      </c>
      <c r="B116" s="167">
        <v>0.6</v>
      </c>
    </row>
    <row r="117" spans="1:5">
      <c r="A117" s="367"/>
      <c r="B117" s="167">
        <v>0.7</v>
      </c>
      <c r="E117" s="173"/>
    </row>
    <row r="118" spans="1:5">
      <c r="A118" s="142" t="s">
        <v>50</v>
      </c>
      <c r="B118" s="167">
        <v>4</v>
      </c>
    </row>
    <row r="120" spans="1:5">
      <c r="A120" s="167" t="s">
        <v>168</v>
      </c>
      <c r="B120" s="172">
        <f>(B117*B116)*B118*B105</f>
        <v>40.32</v>
      </c>
    </row>
    <row r="123" spans="1:5">
      <c r="A123" s="311" t="s">
        <v>174</v>
      </c>
      <c r="B123" s="311"/>
    </row>
    <row r="124" spans="1:5">
      <c r="A124" s="167" t="s">
        <v>175</v>
      </c>
      <c r="B124" s="167">
        <v>144.97</v>
      </c>
    </row>
    <row r="125" spans="1:5">
      <c r="A125" s="167" t="s">
        <v>176</v>
      </c>
      <c r="B125" s="167">
        <v>0.15</v>
      </c>
    </row>
    <row r="126" spans="1:5">
      <c r="A126" s="167" t="s">
        <v>142</v>
      </c>
      <c r="B126" s="167">
        <v>0.4</v>
      </c>
    </row>
    <row r="127" spans="1:5">
      <c r="A127" s="169"/>
      <c r="B127" s="170"/>
    </row>
    <row r="128" spans="1:5">
      <c r="A128" s="167" t="s">
        <v>177</v>
      </c>
      <c r="B128" s="172">
        <f>ROUND((B126*B124*B125),2)</f>
        <v>8.6999999999999993</v>
      </c>
      <c r="D128" s="373" t="s">
        <v>208</v>
      </c>
      <c r="E128" s="374"/>
    </row>
    <row r="129" spans="1:5">
      <c r="D129" s="371">
        <f>ROUND((B109+B128),2)</f>
        <v>14.75</v>
      </c>
      <c r="E129" s="372"/>
    </row>
    <row r="130" spans="1:5">
      <c r="A130" s="311" t="s">
        <v>196</v>
      </c>
      <c r="B130" s="311"/>
    </row>
    <row r="131" spans="1:5">
      <c r="A131" s="370" t="s">
        <v>90</v>
      </c>
      <c r="B131" s="167">
        <v>144.97</v>
      </c>
    </row>
    <row r="132" spans="1:5">
      <c r="A132" s="370"/>
      <c r="B132" s="167">
        <v>0.4</v>
      </c>
    </row>
    <row r="133" spans="1:5">
      <c r="A133" s="167" t="s">
        <v>50</v>
      </c>
      <c r="B133" s="167">
        <v>2</v>
      </c>
    </row>
    <row r="134" spans="1:5">
      <c r="A134" s="167" t="s">
        <v>178</v>
      </c>
      <c r="B134" s="172">
        <f>ROUND((B131*B132*B133),2)</f>
        <v>115.98</v>
      </c>
    </row>
    <row r="136" spans="1:5">
      <c r="A136" s="311" t="s">
        <v>197</v>
      </c>
      <c r="B136" s="311"/>
    </row>
    <row r="137" spans="1:5">
      <c r="A137" s="314" t="s">
        <v>90</v>
      </c>
      <c r="B137" s="167">
        <v>144.97</v>
      </c>
    </row>
    <row r="138" spans="1:5">
      <c r="A138" s="314"/>
      <c r="B138" s="167">
        <v>0.5</v>
      </c>
    </row>
    <row r="139" spans="1:5">
      <c r="A139" s="314"/>
      <c r="B139" s="167">
        <v>0.5</v>
      </c>
    </row>
    <row r="140" spans="1:5">
      <c r="A140" s="167" t="s">
        <v>179</v>
      </c>
      <c r="B140" s="171">
        <f>ROUND((B137*B138*B139),2)</f>
        <v>36.24</v>
      </c>
    </row>
    <row r="143" spans="1:5">
      <c r="A143" s="315" t="s">
        <v>192</v>
      </c>
      <c r="B143" s="316"/>
      <c r="C143" s="316"/>
      <c r="D143" s="316"/>
      <c r="E143" s="317"/>
    </row>
    <row r="144" spans="1:5" ht="30">
      <c r="A144" s="166" t="s">
        <v>40</v>
      </c>
      <c r="B144" s="174" t="s">
        <v>182</v>
      </c>
      <c r="C144" s="174" t="s">
        <v>183</v>
      </c>
      <c r="D144" s="174" t="s">
        <v>184</v>
      </c>
      <c r="E144" s="174" t="s">
        <v>185</v>
      </c>
    </row>
    <row r="145" spans="1:5">
      <c r="A145" s="166" t="s">
        <v>180</v>
      </c>
      <c r="B145" s="166">
        <v>1.92</v>
      </c>
      <c r="C145" s="166">
        <v>2</v>
      </c>
      <c r="D145" s="314">
        <v>24</v>
      </c>
      <c r="E145" s="166">
        <f>B145*C145*D145</f>
        <v>92.16</v>
      </c>
    </row>
    <row r="146" spans="1:5">
      <c r="A146" s="166" t="s">
        <v>181</v>
      </c>
      <c r="B146" s="166">
        <v>2.16</v>
      </c>
      <c r="C146" s="166">
        <v>5</v>
      </c>
      <c r="D146" s="314"/>
      <c r="E146" s="166">
        <f>B146*C146*D145</f>
        <v>259.20000000000005</v>
      </c>
    </row>
    <row r="148" spans="1:5">
      <c r="D148" s="166" t="s">
        <v>27</v>
      </c>
      <c r="E148" s="167">
        <f>SUM(E145:E146)</f>
        <v>351.36</v>
      </c>
    </row>
    <row r="150" spans="1:5">
      <c r="A150" s="167" t="s">
        <v>188</v>
      </c>
      <c r="B150" s="167">
        <v>0.39500000000000002</v>
      </c>
    </row>
    <row r="151" spans="1:5">
      <c r="A151" s="167" t="s">
        <v>189</v>
      </c>
      <c r="B151" s="171">
        <f>ROUND((E148*B150),2)</f>
        <v>138.79</v>
      </c>
    </row>
    <row r="161" spans="1:9">
      <c r="A161" s="311" t="s">
        <v>201</v>
      </c>
      <c r="B161" s="311"/>
      <c r="C161" s="311"/>
      <c r="D161" s="311"/>
      <c r="E161" s="311"/>
    </row>
    <row r="162" spans="1:9">
      <c r="A162" s="312" t="s">
        <v>190</v>
      </c>
      <c r="B162" s="313"/>
      <c r="C162" s="167" t="s">
        <v>191</v>
      </c>
      <c r="D162" s="370" t="s">
        <v>175</v>
      </c>
      <c r="E162" s="370"/>
      <c r="H162" s="310" t="s">
        <v>173</v>
      </c>
      <c r="I162" s="310"/>
    </row>
    <row r="163" spans="1:9">
      <c r="A163" s="312">
        <v>144.97</v>
      </c>
      <c r="B163" s="313"/>
      <c r="C163" s="166">
        <v>4</v>
      </c>
      <c r="D163" s="370">
        <f>A163*C163</f>
        <v>579.88</v>
      </c>
      <c r="E163" s="370"/>
      <c r="H163" s="162" t="s">
        <v>169</v>
      </c>
      <c r="I163" t="s">
        <v>170</v>
      </c>
    </row>
    <row r="164" spans="1:9">
      <c r="H164" s="162" t="s">
        <v>171</v>
      </c>
      <c r="I164" t="s">
        <v>172</v>
      </c>
    </row>
    <row r="165" spans="1:9">
      <c r="A165" s="167" t="s">
        <v>198</v>
      </c>
      <c r="B165" s="167">
        <v>0.96299999999999997</v>
      </c>
    </row>
    <row r="166" spans="1:9">
      <c r="A166" s="167" t="s">
        <v>189</v>
      </c>
      <c r="B166" s="171">
        <f>ROUND((D163*B165),2)</f>
        <v>558.41999999999996</v>
      </c>
    </row>
    <row r="168" spans="1:9">
      <c r="A168" s="311" t="s">
        <v>202</v>
      </c>
      <c r="B168" s="311"/>
      <c r="C168" s="311"/>
      <c r="D168" s="311"/>
      <c r="E168" s="311"/>
    </row>
    <row r="169" spans="1:9" ht="30">
      <c r="A169" s="160" t="s">
        <v>199</v>
      </c>
      <c r="B169" s="176" t="s">
        <v>42</v>
      </c>
      <c r="C169" s="177" t="s">
        <v>200</v>
      </c>
      <c r="D169" s="312" t="s">
        <v>175</v>
      </c>
      <c r="E169" s="313"/>
    </row>
    <row r="170" spans="1:9">
      <c r="A170" s="175">
        <v>0.15</v>
      </c>
      <c r="B170" s="176">
        <f>ROUND((A163/A170),0)</f>
        <v>966</v>
      </c>
      <c r="C170" s="166">
        <v>1</v>
      </c>
      <c r="D170" s="370">
        <f>B170*C170</f>
        <v>966</v>
      </c>
      <c r="E170" s="370"/>
    </row>
    <row r="172" spans="1:9">
      <c r="A172" s="167" t="s">
        <v>203</v>
      </c>
      <c r="B172" s="167">
        <v>0.154</v>
      </c>
    </row>
    <row r="173" spans="1:9">
      <c r="A173" s="167" t="s">
        <v>189</v>
      </c>
      <c r="B173" s="171">
        <f>ROUND((D170*B172),2)</f>
        <v>148.76</v>
      </c>
    </row>
    <row r="180" spans="1:9" ht="30">
      <c r="E180" s="359" t="s">
        <v>214</v>
      </c>
      <c r="F180" s="359"/>
      <c r="H180" s="195" t="s">
        <v>217</v>
      </c>
      <c r="I180" s="5">
        <f>2*14.88668</f>
        <v>29.77336</v>
      </c>
    </row>
    <row r="181" spans="1:9" ht="30">
      <c r="A181" t="s">
        <v>213</v>
      </c>
      <c r="B181" s="3">
        <v>131990</v>
      </c>
      <c r="E181" s="173" t="s">
        <v>215</v>
      </c>
      <c r="F181">
        <v>14.812799999999999</v>
      </c>
      <c r="H181" s="192" t="s">
        <v>218</v>
      </c>
      <c r="I181" s="13">
        <v>45.2</v>
      </c>
    </row>
    <row r="182" spans="1:9">
      <c r="B182" s="3">
        <v>145200</v>
      </c>
      <c r="E182" s="173" t="s">
        <v>216</v>
      </c>
      <c r="F182" s="194">
        <v>0.1</v>
      </c>
      <c r="H182" s="192" t="s">
        <v>138</v>
      </c>
      <c r="I182" s="13">
        <f>ROUND((I180*I181),2)</f>
        <v>1345.76</v>
      </c>
    </row>
    <row r="183" spans="1:9">
      <c r="B183" s="3">
        <v>139700</v>
      </c>
      <c r="E183" t="s">
        <v>142</v>
      </c>
      <c r="F183">
        <f>F181*F182</f>
        <v>1.4812799999999999</v>
      </c>
    </row>
    <row r="184" spans="1:9">
      <c r="B184" s="3">
        <f>(SUM(B181:B183))/3</f>
        <v>138963.33333333334</v>
      </c>
    </row>
    <row r="188" spans="1:9">
      <c r="A188" t="s">
        <v>219</v>
      </c>
      <c r="B188">
        <f>B184/I182</f>
        <v>103.26011572147586</v>
      </c>
      <c r="D188">
        <f>B188*1.2278</f>
        <v>126.78277008282805</v>
      </c>
    </row>
    <row r="190" spans="1:9">
      <c r="B190">
        <f>88.99</f>
        <v>88.99</v>
      </c>
      <c r="D190">
        <f>B190*1.2278</f>
        <v>109.261922</v>
      </c>
    </row>
  </sheetData>
  <mergeCells count="77">
    <mergeCell ref="E180:F180"/>
    <mergeCell ref="A116:A117"/>
    <mergeCell ref="A123:B123"/>
    <mergeCell ref="A131:A132"/>
    <mergeCell ref="A130:B130"/>
    <mergeCell ref="A136:B136"/>
    <mergeCell ref="D170:E170"/>
    <mergeCell ref="A161:E161"/>
    <mergeCell ref="D162:E162"/>
    <mergeCell ref="D163:E163"/>
    <mergeCell ref="A162:B162"/>
    <mergeCell ref="A163:B163"/>
    <mergeCell ref="D129:E129"/>
    <mergeCell ref="D128:E128"/>
    <mergeCell ref="A98:I98"/>
    <mergeCell ref="A101:A103"/>
    <mergeCell ref="A100:B100"/>
    <mergeCell ref="D100:E100"/>
    <mergeCell ref="D101:D103"/>
    <mergeCell ref="G100:H100"/>
    <mergeCell ref="A115:B115"/>
    <mergeCell ref="A55:D55"/>
    <mergeCell ref="B76:G76"/>
    <mergeCell ref="N7:O7"/>
    <mergeCell ref="N6:O6"/>
    <mergeCell ref="B87:B88"/>
    <mergeCell ref="B89:B90"/>
    <mergeCell ref="C77:C78"/>
    <mergeCell ref="C79:C80"/>
    <mergeCell ref="C81:C82"/>
    <mergeCell ref="C83:C84"/>
    <mergeCell ref="C85:C86"/>
    <mergeCell ref="C87:C88"/>
    <mergeCell ref="C89:C90"/>
    <mergeCell ref="B77:B78"/>
    <mergeCell ref="B79:B80"/>
    <mergeCell ref="R6:S6"/>
    <mergeCell ref="A66:F66"/>
    <mergeCell ref="D30:E30"/>
    <mergeCell ref="H25:I25"/>
    <mergeCell ref="H24:K24"/>
    <mergeCell ref="H32:I32"/>
    <mergeCell ref="J32:K32"/>
    <mergeCell ref="H29:H30"/>
    <mergeCell ref="I29:I30"/>
    <mergeCell ref="D57:D59"/>
    <mergeCell ref="D60:D62"/>
    <mergeCell ref="A47:B47"/>
    <mergeCell ref="H37:I37"/>
    <mergeCell ref="H15:I15"/>
    <mergeCell ref="D18:F18"/>
    <mergeCell ref="A1:B1"/>
    <mergeCell ref="A24:B24"/>
    <mergeCell ref="A18:B18"/>
    <mergeCell ref="A10:A11"/>
    <mergeCell ref="A8:B8"/>
    <mergeCell ref="A7:B7"/>
    <mergeCell ref="B81:B82"/>
    <mergeCell ref="B83:B84"/>
    <mergeCell ref="B85:B86"/>
    <mergeCell ref="E90:F90"/>
    <mergeCell ref="E79:F79"/>
    <mergeCell ref="E80:F80"/>
    <mergeCell ref="E81:F81"/>
    <mergeCell ref="E85:F85"/>
    <mergeCell ref="E89:F89"/>
    <mergeCell ref="E87:F87"/>
    <mergeCell ref="E83:F83"/>
    <mergeCell ref="E82:F82"/>
    <mergeCell ref="E86:F86"/>
    <mergeCell ref="E88:F88"/>
    <mergeCell ref="H162:I162"/>
    <mergeCell ref="A168:E168"/>
    <mergeCell ref="D169:E169"/>
    <mergeCell ref="A137:A139"/>
    <mergeCell ref="D145:D146"/>
    <mergeCell ref="A143:E143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2:Q30"/>
  <sheetViews>
    <sheetView tabSelected="1" workbookViewId="0">
      <selection activeCell="C25" sqref="C25"/>
    </sheetView>
  </sheetViews>
  <sheetFormatPr defaultRowHeight="15"/>
  <cols>
    <col min="1" max="1" width="9.140625" style="197"/>
    <col min="2" max="2" width="31" customWidth="1"/>
    <col min="3" max="17" width="9.140625" style="129"/>
  </cols>
  <sheetData>
    <row r="2" spans="1:17">
      <c r="E2" s="129" t="s">
        <v>124</v>
      </c>
    </row>
    <row r="3" spans="1:17" s="131" customFormat="1">
      <c r="A3" s="384" t="s">
        <v>123</v>
      </c>
      <c r="B3" s="378" t="s">
        <v>116</v>
      </c>
      <c r="C3" s="319" t="s">
        <v>2</v>
      </c>
      <c r="D3" s="137" t="s">
        <v>125</v>
      </c>
      <c r="E3" s="137">
        <f>625.4*7</f>
        <v>4377.8</v>
      </c>
      <c r="F3" s="137">
        <f>2407.2*6</f>
        <v>14443.199999999999</v>
      </c>
      <c r="G3" s="138">
        <v>380</v>
      </c>
      <c r="H3" s="138"/>
      <c r="I3" s="137"/>
      <c r="J3" s="137"/>
      <c r="K3" s="137"/>
      <c r="L3" s="137"/>
      <c r="M3" s="137"/>
      <c r="N3" s="137"/>
      <c r="O3" s="137"/>
      <c r="P3" s="137"/>
      <c r="Q3" s="137"/>
    </row>
    <row r="4" spans="1:17" s="131" customFormat="1">
      <c r="A4" s="383"/>
      <c r="B4" s="378"/>
      <c r="C4" s="319"/>
      <c r="D4" s="377">
        <f>(SUM(E3:N3))/100</f>
        <v>192.01</v>
      </c>
      <c r="E4" s="377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</row>
    <row r="5" spans="1:17" s="131" customFormat="1">
      <c r="A5" s="384" t="s">
        <v>123</v>
      </c>
      <c r="B5" s="381" t="s">
        <v>113</v>
      </c>
      <c r="C5" s="319" t="s">
        <v>2</v>
      </c>
      <c r="D5" s="137" t="s">
        <v>125</v>
      </c>
      <c r="E5" s="137">
        <v>2165.1</v>
      </c>
      <c r="F5" s="137">
        <v>2303</v>
      </c>
      <c r="G5" s="137">
        <v>2223.6</v>
      </c>
      <c r="H5" s="137">
        <v>1709.2</v>
      </c>
      <c r="I5" s="137">
        <v>2127.3000000000002</v>
      </c>
      <c r="J5" s="137">
        <v>2320.8000000000002</v>
      </c>
      <c r="K5" s="137">
        <v>2050.6</v>
      </c>
      <c r="L5" s="137">
        <v>1880.5</v>
      </c>
      <c r="M5" s="137">
        <v>2303.3000000000002</v>
      </c>
      <c r="N5" s="138">
        <v>120</v>
      </c>
      <c r="O5" s="137"/>
      <c r="P5" s="137"/>
      <c r="Q5" s="137"/>
    </row>
    <row r="6" spans="1:17" s="131" customFormat="1">
      <c r="A6" s="383"/>
      <c r="B6" s="381"/>
      <c r="C6" s="319"/>
      <c r="D6" s="377">
        <f>(SUM(E5:R5))/100</f>
        <v>192.03399999999999</v>
      </c>
      <c r="E6" s="377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</row>
    <row r="7" spans="1:17" s="131" customFormat="1">
      <c r="A7" s="384" t="s">
        <v>123</v>
      </c>
      <c r="B7" s="381" t="s">
        <v>114</v>
      </c>
      <c r="C7" s="319" t="s">
        <v>2</v>
      </c>
      <c r="D7" s="137" t="s">
        <v>125</v>
      </c>
      <c r="E7" s="137">
        <v>1464.1</v>
      </c>
      <c r="F7" s="137">
        <v>7269.4</v>
      </c>
      <c r="G7" s="138">
        <v>120</v>
      </c>
      <c r="H7" s="137"/>
      <c r="I7" s="137"/>
      <c r="J7" s="137"/>
      <c r="K7" s="137"/>
      <c r="L7" s="137"/>
      <c r="M7" s="137"/>
      <c r="N7" s="137"/>
      <c r="O7" s="137"/>
      <c r="P7" s="137"/>
      <c r="Q7" s="137"/>
    </row>
    <row r="8" spans="1:17" s="131" customFormat="1">
      <c r="A8" s="383"/>
      <c r="B8" s="381"/>
      <c r="C8" s="319"/>
      <c r="D8" s="377">
        <f>(SUM(E7:O7))/100</f>
        <v>88.534999999999997</v>
      </c>
      <c r="E8" s="377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</row>
    <row r="9" spans="1:17" s="131" customFormat="1">
      <c r="A9" s="130" t="s">
        <v>123</v>
      </c>
      <c r="B9" s="132" t="s">
        <v>115</v>
      </c>
      <c r="C9" s="133" t="s">
        <v>13</v>
      </c>
      <c r="D9" s="376">
        <v>13</v>
      </c>
      <c r="E9" s="376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</row>
    <row r="10" spans="1:17" s="131" customFormat="1">
      <c r="A10" s="384" t="s">
        <v>123</v>
      </c>
      <c r="B10" s="378" t="s">
        <v>117</v>
      </c>
      <c r="C10" s="319" t="s">
        <v>1</v>
      </c>
      <c r="D10" s="137" t="s">
        <v>125</v>
      </c>
      <c r="E10" s="137">
        <v>7269.4</v>
      </c>
      <c r="F10" s="137">
        <v>1464.1</v>
      </c>
      <c r="G10" s="137">
        <v>2165.1</v>
      </c>
      <c r="H10" s="137">
        <v>2303</v>
      </c>
      <c r="I10" s="137">
        <v>2223.6</v>
      </c>
      <c r="J10" s="137">
        <v>1709.2</v>
      </c>
      <c r="K10" s="137">
        <v>2127.3000000000002</v>
      </c>
      <c r="L10" s="137">
        <v>2320.8000000000002</v>
      </c>
      <c r="M10" s="137">
        <v>2050.6</v>
      </c>
      <c r="N10" s="137">
        <v>1880.5</v>
      </c>
      <c r="O10" s="137">
        <v>2303.3000000000002</v>
      </c>
      <c r="P10" s="137"/>
      <c r="Q10" s="137"/>
    </row>
    <row r="11" spans="1:17" s="131" customFormat="1">
      <c r="A11" s="385"/>
      <c r="B11" s="378"/>
      <c r="C11" s="319"/>
      <c r="D11" s="377">
        <f>((SUM(E10:O10))/100)*0.3*0.3</f>
        <v>25.035209999999999</v>
      </c>
      <c r="E11" s="377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</row>
    <row r="12" spans="1:17" s="131" customFormat="1">
      <c r="A12" s="382" t="s">
        <v>123</v>
      </c>
      <c r="B12" s="379" t="s">
        <v>120</v>
      </c>
      <c r="C12" s="379" t="s">
        <v>2</v>
      </c>
      <c r="D12" s="139" t="s">
        <v>125</v>
      </c>
      <c r="E12" s="138">
        <v>380</v>
      </c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</row>
    <row r="13" spans="1:17" s="131" customFormat="1">
      <c r="A13" s="383"/>
      <c r="B13" s="380"/>
      <c r="C13" s="380"/>
      <c r="D13" s="377">
        <f>G27+(E12/100)</f>
        <v>621.18563999999981</v>
      </c>
      <c r="E13" s="377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</row>
    <row r="14" spans="1:17" s="131" customFormat="1">
      <c r="A14" s="382" t="s">
        <v>123</v>
      </c>
      <c r="B14" s="379" t="s">
        <v>121</v>
      </c>
      <c r="C14" s="379" t="s">
        <v>2</v>
      </c>
      <c r="D14" s="137" t="s">
        <v>125</v>
      </c>
      <c r="E14" s="137">
        <v>1464.1</v>
      </c>
      <c r="F14" s="137">
        <v>7269.4</v>
      </c>
      <c r="G14" s="138">
        <v>120</v>
      </c>
      <c r="H14" s="137">
        <v>7269.4</v>
      </c>
      <c r="I14" s="137">
        <v>7269.4</v>
      </c>
      <c r="J14" s="137"/>
      <c r="K14" s="137"/>
      <c r="L14" s="137"/>
      <c r="M14" s="137"/>
      <c r="N14" s="137"/>
      <c r="O14" s="137"/>
      <c r="P14" s="137"/>
      <c r="Q14" s="137"/>
    </row>
    <row r="15" spans="1:17" s="131" customFormat="1">
      <c r="A15" s="383"/>
      <c r="B15" s="380"/>
      <c r="C15" s="380"/>
      <c r="D15" s="377">
        <f>(SUM(E14:I14))/100</f>
        <v>233.923</v>
      </c>
      <c r="E15" s="377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</row>
    <row r="16" spans="1:17" s="131" customFormat="1">
      <c r="A16" s="130" t="s">
        <v>123</v>
      </c>
      <c r="B16" s="134" t="s">
        <v>118</v>
      </c>
      <c r="C16" s="133" t="s">
        <v>13</v>
      </c>
      <c r="D16" s="375">
        <v>1</v>
      </c>
      <c r="E16" s="376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</row>
    <row r="17" spans="1:17" s="131" customFormat="1">
      <c r="A17" s="130" t="s">
        <v>123</v>
      </c>
      <c r="B17" s="134" t="s">
        <v>119</v>
      </c>
      <c r="C17" s="133" t="s">
        <v>13</v>
      </c>
      <c r="D17" s="375">
        <v>1</v>
      </c>
      <c r="E17" s="376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</row>
    <row r="18" spans="1:17" s="131" customFormat="1">
      <c r="A18" s="130" t="s">
        <v>123</v>
      </c>
      <c r="B18" s="134" t="s">
        <v>122</v>
      </c>
      <c r="C18" s="133" t="s">
        <v>13</v>
      </c>
      <c r="D18" s="375">
        <v>24</v>
      </c>
      <c r="E18" s="376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</row>
    <row r="19" spans="1:17" s="131" customFormat="1">
      <c r="A19" s="130" t="s">
        <v>227</v>
      </c>
      <c r="B19" s="134" t="s">
        <v>134</v>
      </c>
      <c r="C19" s="133" t="s">
        <v>13</v>
      </c>
      <c r="D19" s="375">
        <v>1</v>
      </c>
      <c r="E19" s="376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</row>
    <row r="21" spans="1:17">
      <c r="B21" s="129"/>
      <c r="F21" s="310" t="s">
        <v>126</v>
      </c>
      <c r="G21" s="310"/>
      <c r="H21" s="310"/>
      <c r="I21" s="310"/>
      <c r="J21" s="310"/>
      <c r="K21" s="310"/>
      <c r="L21" s="310"/>
      <c r="M21" s="310"/>
      <c r="N21" s="310"/>
      <c r="O21" s="310"/>
      <c r="P21" s="310"/>
    </row>
    <row r="22" spans="1:17">
      <c r="B22" s="129"/>
      <c r="G22" s="129" t="s">
        <v>130</v>
      </c>
      <c r="H22" s="129" t="s">
        <v>130</v>
      </c>
      <c r="I22" s="129" t="s">
        <v>130</v>
      </c>
      <c r="K22" s="310" t="s">
        <v>131</v>
      </c>
      <c r="L22" s="310"/>
      <c r="M22" s="310" t="s">
        <v>132</v>
      </c>
      <c r="N22" s="310"/>
      <c r="O22" s="310" t="s">
        <v>133</v>
      </c>
      <c r="P22" s="310"/>
    </row>
    <row r="23" spans="1:17">
      <c r="B23" s="129"/>
      <c r="F23" s="129" t="s">
        <v>127</v>
      </c>
      <c r="G23" s="129">
        <v>3728.7080000000001</v>
      </c>
      <c r="K23" s="129">
        <v>2396.7040000000002</v>
      </c>
      <c r="L23" s="129">
        <v>2396.7040000000002</v>
      </c>
      <c r="M23" s="129">
        <v>2396.7040000000002</v>
      </c>
      <c r="N23" s="129">
        <v>2396.7040000000002</v>
      </c>
      <c r="O23" s="129">
        <v>2396.7040000000002</v>
      </c>
      <c r="P23" s="129">
        <v>2396.7040000000002</v>
      </c>
    </row>
    <row r="24" spans="1:17">
      <c r="B24" s="129"/>
      <c r="F24" s="129" t="s">
        <v>128</v>
      </c>
      <c r="G24" s="129">
        <v>3728.7080000000001</v>
      </c>
      <c r="H24" s="129">
        <v>2478.3130000000001</v>
      </c>
      <c r="I24" s="129">
        <v>1227.5709999999999</v>
      </c>
      <c r="K24" s="129">
        <v>2396.7040000000002</v>
      </c>
      <c r="L24" s="129">
        <v>2396.7040000000002</v>
      </c>
      <c r="M24" s="129">
        <v>2396.7040000000002</v>
      </c>
      <c r="N24" s="129">
        <v>2396.7040000000002</v>
      </c>
      <c r="O24" s="129">
        <v>2396.7040000000002</v>
      </c>
      <c r="P24" s="129">
        <v>2396.7040000000002</v>
      </c>
    </row>
    <row r="25" spans="1:17">
      <c r="B25" s="129"/>
      <c r="F25" s="129" t="s">
        <v>129</v>
      </c>
      <c r="G25" s="129">
        <v>3728.7080000000001</v>
      </c>
      <c r="H25" s="129">
        <v>2478.3130000000001</v>
      </c>
      <c r="I25" s="129">
        <v>1227.5709999999999</v>
      </c>
      <c r="K25" s="129">
        <v>2396.7040000000002</v>
      </c>
      <c r="L25" s="129">
        <v>2396.7040000000002</v>
      </c>
      <c r="M25" s="129">
        <v>2396.7040000000002</v>
      </c>
      <c r="N25" s="129">
        <v>2396.7040000000002</v>
      </c>
      <c r="O25" s="129">
        <v>2396.7040000000002</v>
      </c>
      <c r="P25" s="129">
        <v>2396.7040000000002</v>
      </c>
    </row>
    <row r="26" spans="1:17">
      <c r="B26" s="129"/>
    </row>
    <row r="27" spans="1:17">
      <c r="B27" s="129"/>
      <c r="F27" s="129" t="s">
        <v>27</v>
      </c>
      <c r="G27" s="129">
        <f>(SUM(G23:I25,K23:P25))/100</f>
        <v>617.38563999999985</v>
      </c>
    </row>
    <row r="28" spans="1:17">
      <c r="B28" s="129"/>
    </row>
    <row r="29" spans="1:17">
      <c r="B29" s="129"/>
    </row>
    <row r="30" spans="1:17">
      <c r="B30" s="129"/>
    </row>
  </sheetData>
  <mergeCells count="33">
    <mergeCell ref="A12:A13"/>
    <mergeCell ref="A14:A15"/>
    <mergeCell ref="A3:A4"/>
    <mergeCell ref="A5:A6"/>
    <mergeCell ref="A7:A8"/>
    <mergeCell ref="A10:A11"/>
    <mergeCell ref="D9:E9"/>
    <mergeCell ref="C3:C4"/>
    <mergeCell ref="B3:B4"/>
    <mergeCell ref="D4:E4"/>
    <mergeCell ref="B5:B6"/>
    <mergeCell ref="C5:C6"/>
    <mergeCell ref="B7:B8"/>
    <mergeCell ref="C7:C8"/>
    <mergeCell ref="D6:E6"/>
    <mergeCell ref="D8:E8"/>
    <mergeCell ref="D11:E11"/>
    <mergeCell ref="B10:B11"/>
    <mergeCell ref="B12:B13"/>
    <mergeCell ref="B14:B15"/>
    <mergeCell ref="C14:C15"/>
    <mergeCell ref="D13:E13"/>
    <mergeCell ref="D15:E15"/>
    <mergeCell ref="C10:C11"/>
    <mergeCell ref="C12:C13"/>
    <mergeCell ref="K22:L22"/>
    <mergeCell ref="M22:N22"/>
    <mergeCell ref="O22:P22"/>
    <mergeCell ref="F21:P21"/>
    <mergeCell ref="D16:E16"/>
    <mergeCell ref="D17:E17"/>
    <mergeCell ref="D18:E18"/>
    <mergeCell ref="D19:E1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Orçamento</vt:lpstr>
      <vt:lpstr>Composição</vt:lpstr>
      <vt:lpstr>Cálculos</vt:lpstr>
      <vt:lpstr>Quantitativos elétricos</vt:lpstr>
      <vt:lpstr>Composição!Area_de_impressao</vt:lpstr>
      <vt:lpstr>Orçamento!Area_de_impressao</vt:lpstr>
      <vt:lpstr>Orçamento!Titulos_de_impressao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hlabres</dc:creator>
  <cp:lastModifiedBy>asilveira</cp:lastModifiedBy>
  <cp:lastPrinted>2022-02-09T13:39:01Z</cp:lastPrinted>
  <dcterms:created xsi:type="dcterms:W3CDTF">2020-02-11T18:06:38Z</dcterms:created>
  <dcterms:modified xsi:type="dcterms:W3CDTF">2022-02-14T14:08:23Z</dcterms:modified>
</cp:coreProperties>
</file>