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600" windowWidth="19860" windowHeight="10920" tabRatio="802"/>
  </bookViews>
  <sheets>
    <sheet name="RSU Convencional Urbana" sheetId="2" r:id="rId1"/>
    <sheet name="Lavagem unif." sheetId="11" r:id="rId2"/>
    <sheet name="Feriados" sheetId="10" r:id="rId3"/>
    <sheet name="2.Encargos Sociais" sheetId="8" r:id="rId4"/>
    <sheet name="3.CAGED" sheetId="5" r:id="rId5"/>
    <sheet name="4.BDI" sheetId="4" r:id="rId6"/>
    <sheet name="5. Depreciação" sheetId="6" r:id="rId7"/>
    <sheet name="6.Remuneração de capital" sheetId="7" r:id="rId8"/>
  </sheets>
  <definedNames>
    <definedName name="AbaDeprec">'5. Depreciação'!$A$1</definedName>
    <definedName name="AbaRemun">'6.Remuneração de capital'!$A$1</definedName>
    <definedName name="_xlnm.Print_Area" localSheetId="3">'2.Encargos Sociais'!$A$1:$C$33</definedName>
    <definedName name="número">#REF!</definedName>
    <definedName name="x">#REF!</definedName>
  </definedNames>
  <calcPr calcId="124519"/>
  <fileRecoveryPr repairLoad="1"/>
</workbook>
</file>

<file path=xl/calcChain.xml><?xml version="1.0" encoding="utf-8"?>
<calcChain xmlns="http://schemas.openxmlformats.org/spreadsheetml/2006/main">
  <c r="C79" i="2"/>
  <c r="C17" i="6" l="1"/>
  <c r="C16"/>
  <c r="C15"/>
  <c r="C14"/>
  <c r="C13"/>
  <c r="C12"/>
  <c r="C11"/>
  <c r="C10"/>
  <c r="C9"/>
  <c r="C8"/>
  <c r="C7"/>
  <c r="C6"/>
  <c r="C5"/>
  <c r="C4"/>
  <c r="C3"/>
  <c r="E80" i="2" l="1"/>
  <c r="E65"/>
  <c r="A34" l="1"/>
  <c r="C178" l="1"/>
  <c r="D69"/>
  <c r="D84"/>
  <c r="D85"/>
  <c r="C147"/>
  <c r="C125"/>
  <c r="D276" l="1"/>
  <c r="D274"/>
  <c r="C230"/>
  <c r="C224"/>
  <c r="E225"/>
  <c r="D209"/>
  <c r="E159"/>
  <c r="C158"/>
  <c r="D156"/>
  <c r="C156"/>
  <c r="C155"/>
  <c r="E155" s="1"/>
  <c r="C154"/>
  <c r="E154" s="1"/>
  <c r="D153"/>
  <c r="C153"/>
  <c r="C152"/>
  <c r="E152" s="1"/>
  <c r="D151"/>
  <c r="C151"/>
  <c r="D150"/>
  <c r="C150"/>
  <c r="D149"/>
  <c r="C149"/>
  <c r="D148"/>
  <c r="C148"/>
  <c r="D147"/>
  <c r="E147" s="1"/>
  <c r="E143"/>
  <c r="C142"/>
  <c r="C140"/>
  <c r="E140" s="1"/>
  <c r="C139"/>
  <c r="E139" s="1"/>
  <c r="C138"/>
  <c r="E138" s="1"/>
  <c r="C137"/>
  <c r="E137" s="1"/>
  <c r="C136"/>
  <c r="E136" s="1"/>
  <c r="C135"/>
  <c r="E135" s="1"/>
  <c r="C134"/>
  <c r="E134" s="1"/>
  <c r="C126"/>
  <c r="D126"/>
  <c r="D125"/>
  <c r="C118"/>
  <c r="C124"/>
  <c r="C112"/>
  <c r="C110"/>
  <c r="C108"/>
  <c r="D112"/>
  <c r="D103"/>
  <c r="D102"/>
  <c r="D101"/>
  <c r="E148" l="1"/>
  <c r="E150"/>
  <c r="E153"/>
  <c r="E149"/>
  <c r="E151"/>
  <c r="E156"/>
  <c r="C103" l="1"/>
  <c r="C102"/>
  <c r="C101"/>
  <c r="C94"/>
  <c r="C64"/>
  <c r="D56"/>
  <c r="C246"/>
  <c r="C23" i="4" l="1"/>
  <c r="C344" i="2" s="1"/>
  <c r="A35"/>
  <c r="A126" l="1"/>
  <c r="F15" i="11" l="1"/>
  <c r="C15"/>
  <c r="F14"/>
  <c r="C14"/>
  <c r="F13"/>
  <c r="C13"/>
  <c r="F12"/>
  <c r="G12" s="1"/>
  <c r="I12" s="1"/>
  <c r="C12"/>
  <c r="F7"/>
  <c r="G7" s="1"/>
  <c r="I7" s="1"/>
  <c r="J7" s="1"/>
  <c r="C7"/>
  <c r="F6"/>
  <c r="G6" s="1"/>
  <c r="I6" s="1"/>
  <c r="J6" s="1"/>
  <c r="C6"/>
  <c r="F5"/>
  <c r="G5" s="1"/>
  <c r="I5" s="1"/>
  <c r="J5" s="1"/>
  <c r="C5"/>
  <c r="F4"/>
  <c r="C4"/>
  <c r="G4" s="1"/>
  <c r="I4" s="1"/>
  <c r="J4" s="1"/>
  <c r="F3"/>
  <c r="C3"/>
  <c r="G13" l="1"/>
  <c r="I13" s="1"/>
  <c r="J13" s="1"/>
  <c r="G14"/>
  <c r="I14" s="1"/>
  <c r="J14" s="1"/>
  <c r="G3"/>
  <c r="I3" s="1"/>
  <c r="G15"/>
  <c r="I15" s="1"/>
  <c r="J15" s="1"/>
  <c r="J3"/>
  <c r="J8" s="1"/>
  <c r="D157" i="2" s="1"/>
  <c r="E157" s="1"/>
  <c r="D158" s="1"/>
  <c r="E158" s="1"/>
  <c r="F159" s="1"/>
  <c r="I8" i="11"/>
  <c r="I16"/>
  <c r="J12"/>
  <c r="J16" s="1"/>
  <c r="D141" i="2" s="1"/>
  <c r="E141" s="1"/>
  <c r="D142" s="1"/>
  <c r="C262" l="1"/>
  <c r="D109" l="1"/>
  <c r="C252" l="1"/>
  <c r="D322" l="1"/>
  <c r="D320"/>
  <c r="C320" l="1"/>
  <c r="C322" s="1"/>
  <c r="E322" s="1"/>
  <c r="D323" s="1"/>
  <c r="E323" s="1"/>
  <c r="A125"/>
  <c r="E320" l="1"/>
  <c r="D321" s="1"/>
  <c r="E321" s="1"/>
  <c r="E324" l="1"/>
  <c r="F324" s="1"/>
  <c r="E284"/>
  <c r="E291"/>
  <c r="E278"/>
  <c r="E247"/>
  <c r="E258"/>
  <c r="E266"/>
  <c r="A47"/>
  <c r="C301" l="1"/>
  <c r="C303"/>
  <c r="C304"/>
  <c r="C302"/>
  <c r="C299"/>
  <c r="C300"/>
  <c r="E283"/>
  <c r="E224"/>
  <c r="A15"/>
  <c r="D86" l="1"/>
  <c r="D72" l="1"/>
  <c r="E72" s="1"/>
  <c r="E124" l="1"/>
  <c r="D71"/>
  <c r="E71" s="1"/>
  <c r="D73" s="1"/>
  <c r="E73" s="1"/>
  <c r="E69"/>
  <c r="E101" s="1"/>
  <c r="E108" l="1"/>
  <c r="E109"/>
  <c r="D75"/>
  <c r="E75" s="1"/>
  <c r="E76" s="1"/>
  <c r="D77" s="1"/>
  <c r="A31" l="1"/>
  <c r="A30"/>
  <c r="A29"/>
  <c r="A28"/>
  <c r="A27"/>
  <c r="A26"/>
  <c r="C290" l="1"/>
  <c r="E288"/>
  <c r="D289" s="1"/>
  <c r="C272"/>
  <c r="C276" s="1"/>
  <c r="E276" s="1"/>
  <c r="C264"/>
  <c r="E264" s="1"/>
  <c r="C263"/>
  <c r="E263" s="1"/>
  <c r="C257"/>
  <c r="D251"/>
  <c r="E251" s="1"/>
  <c r="C244"/>
  <c r="C243"/>
  <c r="E240"/>
  <c r="D272"/>
  <c r="D277" s="1"/>
  <c r="E303"/>
  <c r="E304"/>
  <c r="E302"/>
  <c r="D119"/>
  <c r="A119"/>
  <c r="D111"/>
  <c r="D113"/>
  <c r="D243" l="1"/>
  <c r="E243" s="1"/>
  <c r="D244" s="1"/>
  <c r="E244" s="1"/>
  <c r="E245" s="1"/>
  <c r="E289"/>
  <c r="D290" s="1"/>
  <c r="E290" s="1"/>
  <c r="C274"/>
  <c r="E274" s="1"/>
  <c r="C253"/>
  <c r="E272"/>
  <c r="C282"/>
  <c r="E282" s="1"/>
  <c r="F284" s="1"/>
  <c r="C234"/>
  <c r="F278" l="1"/>
  <c r="C29" s="1"/>
  <c r="F291"/>
  <c r="C31" s="1"/>
  <c r="E31" s="1"/>
  <c r="C254"/>
  <c r="D255" s="1"/>
  <c r="E255" s="1"/>
  <c r="E256" s="1"/>
  <c r="D246"/>
  <c r="E246" s="1"/>
  <c r="F247" s="1"/>
  <c r="C26" s="1"/>
  <c r="C30"/>
  <c r="A19"/>
  <c r="E29" l="1"/>
  <c r="E30"/>
  <c r="E26"/>
  <c r="D257"/>
  <c r="E257" s="1"/>
  <c r="F258" s="1"/>
  <c r="C27" s="1"/>
  <c r="A46"/>
  <c r="C312" l="1"/>
  <c r="E27"/>
  <c r="A25"/>
  <c r="C175" l="1"/>
  <c r="E179"/>
  <c r="B14" i="10" l="1"/>
  <c r="B2"/>
  <c r="B17" s="1"/>
  <c r="B19" s="1"/>
  <c r="B21" i="5" l="1"/>
  <c r="C198" i="2" l="1"/>
  <c r="C197"/>
  <c r="C199"/>
  <c r="A33" l="1"/>
  <c r="A32"/>
  <c r="A17"/>
  <c r="A16"/>
  <c r="A8"/>
  <c r="C170" l="1"/>
  <c r="E119" l="1"/>
  <c r="E111"/>
  <c r="E126"/>
  <c r="E112"/>
  <c r="E125"/>
  <c r="C193"/>
  <c r="C188"/>
  <c r="D217"/>
  <c r="D215"/>
  <c r="D213"/>
  <c r="D211"/>
  <c r="F127" l="1"/>
  <c r="C15" s="1"/>
  <c r="E15" s="1"/>
  <c r="E113"/>
  <c r="D58" l="1"/>
  <c r="E58" s="1"/>
  <c r="D57"/>
  <c r="E57" s="1"/>
  <c r="E86"/>
  <c r="D59" l="1"/>
  <c r="E59" s="1"/>
  <c r="D87"/>
  <c r="E87" s="1"/>
  <c r="D88" s="1"/>
  <c r="E88" s="1"/>
  <c r="A24" l="1"/>
  <c r="A23"/>
  <c r="A22"/>
  <c r="A21"/>
  <c r="A20"/>
  <c r="A18"/>
  <c r="A14"/>
  <c r="A13"/>
  <c r="A12"/>
  <c r="A11"/>
  <c r="A10"/>
  <c r="A9"/>
  <c r="C14" i="8"/>
  <c r="E316" i="2"/>
  <c r="E201"/>
  <c r="E194"/>
  <c r="E95"/>
  <c r="D182"/>
  <c r="C11" i="4"/>
  <c r="C334" i="2" s="1"/>
  <c r="C11" i="8"/>
  <c r="B23" i="5"/>
  <c r="E84" i="2"/>
  <c r="C232"/>
  <c r="E232" s="1"/>
  <c r="C207"/>
  <c r="D207"/>
  <c r="D218" s="1"/>
  <c r="E167"/>
  <c r="D187"/>
  <c r="C176"/>
  <c r="C171"/>
  <c r="C314"/>
  <c r="E314" s="1"/>
  <c r="D315" s="1"/>
  <c r="E315" s="1"/>
  <c r="C172"/>
  <c r="C187" s="1"/>
  <c r="A40"/>
  <c r="A41"/>
  <c r="A42"/>
  <c r="E56"/>
  <c r="E230"/>
  <c r="E199"/>
  <c r="E198"/>
  <c r="E299"/>
  <c r="E300"/>
  <c r="E301"/>
  <c r="C211" l="1"/>
  <c r="E211" s="1"/>
  <c r="C209"/>
  <c r="E209" s="1"/>
  <c r="E262"/>
  <c r="D265" s="1"/>
  <c r="E265" s="1"/>
  <c r="F266" s="1"/>
  <c r="C28" s="1"/>
  <c r="E28" s="1"/>
  <c r="C184"/>
  <c r="D90"/>
  <c r="E90" s="1"/>
  <c r="E91" s="1"/>
  <c r="B25" i="5"/>
  <c r="B26" s="1"/>
  <c r="B24"/>
  <c r="C25" i="8" s="1"/>
  <c r="D170" i="2"/>
  <c r="E170" s="1"/>
  <c r="C215"/>
  <c r="E215" s="1"/>
  <c r="C217"/>
  <c r="E217" s="1"/>
  <c r="F305"/>
  <c r="F307" s="1"/>
  <c r="C32" s="1"/>
  <c r="E110"/>
  <c r="F114" s="1"/>
  <c r="E207"/>
  <c r="E172"/>
  <c r="C189" s="1"/>
  <c r="D43"/>
  <c r="E103"/>
  <c r="E187"/>
  <c r="E118"/>
  <c r="F120" s="1"/>
  <c r="D60"/>
  <c r="E60" s="1"/>
  <c r="E61" s="1"/>
  <c r="D62" s="1"/>
  <c r="C213"/>
  <c r="E213" s="1"/>
  <c r="C223"/>
  <c r="E223" s="1"/>
  <c r="F226" s="1"/>
  <c r="E312"/>
  <c r="D313" s="1"/>
  <c r="E313" s="1"/>
  <c r="F316" s="1"/>
  <c r="F326" s="1"/>
  <c r="E182"/>
  <c r="D233"/>
  <c r="E102"/>
  <c r="F104" l="1"/>
  <c r="C25"/>
  <c r="E25" s="1"/>
  <c r="E32"/>
  <c r="C33"/>
  <c r="E33" s="1"/>
  <c r="C14"/>
  <c r="E14" s="1"/>
  <c r="C23"/>
  <c r="E23" s="1"/>
  <c r="C185"/>
  <c r="E233"/>
  <c r="D234" s="1"/>
  <c r="E234" s="1"/>
  <c r="F235" s="1"/>
  <c r="C24" s="1"/>
  <c r="E24" s="1"/>
  <c r="C24" i="8"/>
  <c r="B31" i="5"/>
  <c r="C21" i="8" s="1"/>
  <c r="C29" s="1"/>
  <c r="D171" i="2"/>
  <c r="E171" s="1"/>
  <c r="E197"/>
  <c r="D200" s="1"/>
  <c r="E200" s="1"/>
  <c r="F201" s="1"/>
  <c r="C21" s="1"/>
  <c r="C22" i="8"/>
  <c r="C13"/>
  <c r="C19" s="1"/>
  <c r="C28" s="1"/>
  <c r="C13" i="2"/>
  <c r="E13" s="1"/>
  <c r="D175"/>
  <c r="E175" s="1"/>
  <c r="D176" s="1"/>
  <c r="E176" s="1"/>
  <c r="C12"/>
  <c r="E12" s="1"/>
  <c r="F219"/>
  <c r="C22" s="1"/>
  <c r="D92"/>
  <c r="E22" l="1"/>
  <c r="E21"/>
  <c r="D186"/>
  <c r="E186" s="1"/>
  <c r="C23" i="8"/>
  <c r="C26" s="1"/>
  <c r="C30"/>
  <c r="E177" i="2"/>
  <c r="D178" s="1"/>
  <c r="E178" s="1"/>
  <c r="C190"/>
  <c r="D191" s="1"/>
  <c r="E191" s="1"/>
  <c r="F179" l="1"/>
  <c r="E192"/>
  <c r="D193" s="1"/>
  <c r="E193" s="1"/>
  <c r="C31" i="8"/>
  <c r="C92" i="2" l="1"/>
  <c r="E92" s="1"/>
  <c r="E93" s="1"/>
  <c r="D94" s="1"/>
  <c r="E94" s="1"/>
  <c r="F95" s="1"/>
  <c r="C11" s="1"/>
  <c r="C77"/>
  <c r="E77" s="1"/>
  <c r="E78" s="1"/>
  <c r="D79" s="1"/>
  <c r="E79" s="1"/>
  <c r="F80" s="1"/>
  <c r="C10" s="1"/>
  <c r="E10" s="1"/>
  <c r="F194"/>
  <c r="C19"/>
  <c r="C62"/>
  <c r="E62" s="1"/>
  <c r="E63" s="1"/>
  <c r="D64" s="1"/>
  <c r="E64" s="1"/>
  <c r="F65" s="1"/>
  <c r="F129" l="1"/>
  <c r="E19"/>
  <c r="E11"/>
  <c r="C9"/>
  <c r="E9" s="1"/>
  <c r="C20"/>
  <c r="E20" l="1"/>
  <c r="C18"/>
  <c r="C8"/>
  <c r="E8" l="1"/>
  <c r="E18"/>
  <c r="F294"/>
  <c r="C17" l="1"/>
  <c r="E17" l="1"/>
  <c r="E142"/>
  <c r="F143" s="1"/>
  <c r="F161" s="1"/>
  <c r="C16" l="1"/>
  <c r="F329"/>
  <c r="E16" l="1"/>
  <c r="D334"/>
  <c r="E334" s="1"/>
  <c r="F335" s="1"/>
  <c r="F337" s="1"/>
  <c r="C34" s="1"/>
  <c r="C36" s="1"/>
  <c r="D344"/>
  <c r="E344" s="1"/>
  <c r="F345" s="1"/>
  <c r="F347" s="1"/>
  <c r="E35" s="1"/>
  <c r="E36" l="1"/>
  <c r="F35" s="1"/>
  <c r="F349"/>
  <c r="F339"/>
  <c r="F33" l="1"/>
  <c r="F27"/>
  <c r="F11"/>
  <c r="F31"/>
  <c r="F21"/>
  <c r="F23"/>
  <c r="F15"/>
  <c r="F14"/>
  <c r="F13"/>
  <c r="F24"/>
  <c r="F17"/>
  <c r="F32"/>
  <c r="F22"/>
  <c r="F18"/>
  <c r="F30"/>
  <c r="F10"/>
  <c r="F28"/>
  <c r="F20"/>
  <c r="F12"/>
  <c r="F19"/>
  <c r="F25"/>
  <c r="F29"/>
  <c r="F26"/>
  <c r="F9"/>
  <c r="F8"/>
  <c r="F16"/>
  <c r="D26"/>
  <c r="D15"/>
  <c r="D10"/>
  <c r="D21"/>
  <c r="D33"/>
  <c r="D31"/>
  <c r="D27"/>
  <c r="D14"/>
  <c r="D22"/>
  <c r="D24"/>
  <c r="D19"/>
  <c r="D11"/>
  <c r="D20"/>
  <c r="D13"/>
  <c r="D28"/>
  <c r="D23"/>
  <c r="D30"/>
  <c r="D29"/>
  <c r="D9"/>
  <c r="D12"/>
  <c r="D32"/>
  <c r="D16"/>
  <c r="D34"/>
  <c r="F36" l="1"/>
  <c r="D25"/>
  <c r="D8"/>
  <c r="D18"/>
  <c r="D17" l="1"/>
  <c r="D36" s="1"/>
</calcChain>
</file>

<file path=xl/sharedStrings.xml><?xml version="1.0" encoding="utf-8"?>
<sst xmlns="http://schemas.openxmlformats.org/spreadsheetml/2006/main" count="741" uniqueCount="360">
  <si>
    <t>hora</t>
  </si>
  <si>
    <t>Adicional de Insalubridade</t>
  </si>
  <si>
    <t>%</t>
  </si>
  <si>
    <t>Soma</t>
  </si>
  <si>
    <t>Encargos Sociais</t>
  </si>
  <si>
    <t>Total do Efetivo</t>
  </si>
  <si>
    <t>homem</t>
  </si>
  <si>
    <t>mês</t>
  </si>
  <si>
    <t>vale</t>
  </si>
  <si>
    <t>unidade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</si>
  <si>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</si>
  <si>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</si>
  <si>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</si>
  <si>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</si>
  <si>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</si>
  <si>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</si>
  <si>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</si>
  <si>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</si>
  <si>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</si>
  <si>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</si>
  <si>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</si>
  <si>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</si>
  <si>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</si>
  <si>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</si>
  <si>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</si>
  <si>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R$</t>
  </si>
  <si>
    <t>Horas Extras (100%)</t>
  </si>
  <si>
    <t>Horas Extras (50%)</t>
  </si>
  <si>
    <t>Benefícios e despesas indiretas</t>
  </si>
  <si>
    <t>Custo mensal com manutenção</t>
  </si>
  <si>
    <t>Mão-de-obra</t>
  </si>
  <si>
    <t>Quantidade</t>
  </si>
  <si>
    <t>INSS</t>
  </si>
  <si>
    <t>FGTS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</si>
  <si>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</si>
  <si>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</si>
  <si>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</si>
  <si>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</si>
  <si>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</si>
  <si>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</si>
  <si>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</si>
  <si>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</si>
  <si>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</si>
  <si>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</si>
  <si>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</si>
  <si>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</si>
  <si>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Total de mão-de-obra (postos de trabalho)</t>
  </si>
  <si>
    <t>Custo mensal com implantação</t>
  </si>
  <si>
    <t>3.1.6. Pneus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</si>
  <si>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</si>
  <si>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</si>
  <si>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</si>
  <si>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</si>
  <si>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Custo de recapagem</t>
  </si>
  <si>
    <t>Coletor</t>
  </si>
  <si>
    <t>4. Ferramentas e Materiais de Consumo</t>
  </si>
  <si>
    <t>5. Monitoramento da Frota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</si>
  <si>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</si>
  <si>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</si>
  <si>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</si>
  <si>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</si>
  <si>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</si>
  <si>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</si>
  <si>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</si>
  <si>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</si>
  <si>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</si>
  <si>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</si>
  <si>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</si>
  <si>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</si>
  <si>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</si>
  <si>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</si>
  <si>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Vale Transporte</t>
  </si>
  <si>
    <t>Dias Trabalhados por mês</t>
  </si>
  <si>
    <t>dia</t>
  </si>
  <si>
    <t>Custo Mensal com Mão-de-obra (R$/mês)</t>
  </si>
  <si>
    <t>Quantitativos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</si>
  <si>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</si>
  <si>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</si>
  <si>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</si>
  <si>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</si>
  <si>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</si>
  <si>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</si>
  <si>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</si>
  <si>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3.1.2. Remuneração do Capital</t>
  </si>
  <si>
    <t>Im = investimento médio</t>
  </si>
  <si>
    <t>Investimento médio total do chassis</t>
  </si>
  <si>
    <t>Remuneração mensal de capital do chassis</t>
  </si>
  <si>
    <t>Custo de manutenção dos caminhões</t>
  </si>
  <si>
    <t>R$/km rodado</t>
  </si>
  <si>
    <t>Número de recapagens por pneu</t>
  </si>
  <si>
    <t>R$ mensal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</si>
  <si>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</si>
  <si>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</si>
  <si>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</si>
  <si>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</si>
  <si>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</si>
  <si>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</si>
  <si>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</si>
  <si>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</si>
  <si>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</si>
  <si>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</si>
  <si>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</si>
  <si>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</si>
  <si>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</si>
  <si>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</si>
  <si>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</si>
  <si>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</si>
  <si>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</si>
  <si>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</si>
  <si>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</si>
  <si>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</si>
  <si>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</si>
  <si>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</si>
  <si>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</si>
  <si>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</si>
  <si>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</si>
  <si>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</si>
  <si>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</si>
  <si>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</si>
  <si>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</si>
  <si>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</si>
  <si>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</si>
  <si>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</si>
  <si>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</si>
  <si>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</si>
  <si>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</si>
  <si>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</si>
  <si>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</si>
  <si>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</si>
  <si>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</si>
  <si>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</si>
  <si>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</si>
  <si>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</si>
  <si>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</si>
  <si>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</si>
  <si>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</si>
  <si>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</si>
  <si>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</si>
  <si>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</si>
  <si>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</si>
  <si>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</si>
  <si>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</si>
  <si>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</si>
  <si>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</si>
  <si>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</si>
  <si>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</si>
  <si>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</si>
  <si>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</si>
  <si>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</si>
  <si>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</si>
  <si>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</si>
  <si>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</si>
  <si>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</si>
  <si>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</si>
  <si>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</si>
  <si>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Fator de utilização</t>
  </si>
  <si>
    <t>Higienização de uniformes e EPIs</t>
  </si>
  <si>
    <t>Custo Mensal com Uniformes e EPIs (R$/mês)</t>
  </si>
  <si>
    <t>Descrição do Item</t>
  </si>
  <si>
    <t>Orçamento Sintético</t>
  </si>
  <si>
    <t>Rio Grande do Sul  - Coleta de Resíduos Não-Perigosos - CNAE 38114</t>
  </si>
  <si>
    <t>Idade do veículo (ano)</t>
  </si>
  <si>
    <t>Idade do veículo</t>
  </si>
  <si>
    <t>Valor do veículo proposto (V0)</t>
  </si>
  <si>
    <t>Taxa de juros anual nominal</t>
  </si>
  <si>
    <t>Base de cálculo da Insalubridade</t>
  </si>
  <si>
    <t>Descanso Semanal Remunerado (DSR) - hora extra</t>
  </si>
  <si>
    <t>C2</t>
  </si>
  <si>
    <t>B3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</si>
  <si>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</si>
  <si>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</si>
  <si>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</si>
  <si>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</si>
  <si>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</si>
  <si>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3. CAGED</t>
  </si>
  <si>
    <t xml:space="preserve">2. Composição dos Encargos Sociais </t>
  </si>
  <si>
    <t>5. Depreciação Referencial TCE/RS (%)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</si>
  <si>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</si>
  <si>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</si>
  <si>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</si>
  <si>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</si>
  <si>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</si>
  <si>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</si>
  <si>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</si>
  <si>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</si>
  <si>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</si>
  <si>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CÁLCULO DAS VERBAS INDENIZATÓRIAS DOS EMPREGADOS NO SETOR DE COLETA DE RSU</t>
  </si>
  <si>
    <t>1/3 de férias (dias)</t>
  </si>
  <si>
    <t>Férias (dias)</t>
  </si>
  <si>
    <t>13º Salário (dias)</t>
  </si>
  <si>
    <t>Rotatividade temporal (meses)</t>
  </si>
  <si>
    <t>Fórmula de cálculo da remuneração de capital:</t>
  </si>
  <si>
    <t>Durabilidade (meses)</t>
  </si>
  <si>
    <t>Custo com consumos/km rodado</t>
  </si>
  <si>
    <t>Consumo</t>
  </si>
  <si>
    <t>Total da frota</t>
  </si>
  <si>
    <t>Depreciação Média</t>
  </si>
  <si>
    <t>Reincidência de FGTS sobre aviso prévio indenizado</t>
  </si>
  <si>
    <t>Piso da categoria (2)</t>
  </si>
  <si>
    <t>Salário mínimo nacional (1)</t>
  </si>
  <si>
    <t>% Demitidos s/ Justa Causa em relação ao Estoque Médio</t>
  </si>
  <si>
    <t>Taxa de Rotatividade</t>
  </si>
  <si>
    <t>Acordo</t>
  </si>
  <si>
    <t>Estoque recuperado início do Período 01-03-2018</t>
  </si>
  <si>
    <t>Estoque recuperado final do Período 28-02-2019</t>
  </si>
  <si>
    <t>Variação Emprego Absoluta de 01-03-2018 a 28-02-2019</t>
  </si>
  <si>
    <t>01/01 - Confraternização Universal</t>
  </si>
  <si>
    <t>21/04 - Tiradentes</t>
  </si>
  <si>
    <t>01/05 - Dia do Trabalho</t>
  </si>
  <si>
    <t>07/09 - Independência do Brasil</t>
  </si>
  <si>
    <t>20/09 - Revolução Farroupilha</t>
  </si>
  <si>
    <t>02/11 - Finados</t>
  </si>
  <si>
    <t>15/11 - Proclamação da República</t>
  </si>
  <si>
    <t>25/12 - Natal</t>
  </si>
  <si>
    <t>Municipais</t>
  </si>
  <si>
    <t>Sub-Total</t>
  </si>
  <si>
    <t>Nº do processo:</t>
  </si>
  <si>
    <t>Licitação nº:</t>
  </si>
  <si>
    <t xml:space="preserve">Dia: </t>
  </si>
  <si>
    <r>
      <t xml:space="preserve">PLANILHA DE COMPOSIÇÃO DE CUSTOS E FORMAÇÃO DE PREÇO </t>
    </r>
    <r>
      <rPr>
        <b/>
        <sz val="16"/>
        <color indexed="20"/>
        <rFont val="Arial"/>
        <family val="2"/>
      </rPr>
      <t xml:space="preserve"> </t>
    </r>
  </si>
  <si>
    <t>Vida útil do coletor lateral e do compactador</t>
  </si>
  <si>
    <t>Custo do coletor lateral e do compactador</t>
  </si>
  <si>
    <t>12/10 - Nossa Senhora Aparecida</t>
  </si>
  <si>
    <t>FERIADOS NACIONAIS, ESTADUAIS E MUNICIPAIS</t>
  </si>
  <si>
    <t>Nacionais / Estaduais</t>
  </si>
  <si>
    <t>Coincidências com domingos (média)</t>
  </si>
  <si>
    <t>Total por veículo equipado</t>
  </si>
  <si>
    <t>Quilometragem mensal (coleta)</t>
  </si>
  <si>
    <t>3.2.1. Depreciação</t>
  </si>
  <si>
    <t>3.2.2. Remuneração do Capital</t>
  </si>
  <si>
    <t>3.2.3. Impostos e Seguros</t>
  </si>
  <si>
    <t>3.2.4. Consumos</t>
  </si>
  <si>
    <t>3.2.5. Manutenção</t>
  </si>
  <si>
    <t>3.2.6. Pneus</t>
  </si>
  <si>
    <t>Desconto previsto na CCT</t>
  </si>
  <si>
    <t>Custo mensal ARLA 32</t>
  </si>
  <si>
    <t>Custo de manutenção do utilitário</t>
  </si>
  <si>
    <t>Total do Veículo</t>
  </si>
  <si>
    <t>Vriável - Sexta feira Santa</t>
  </si>
  <si>
    <t>Variável - Corpus Cristhi</t>
  </si>
  <si>
    <t>Total feriados a considerar</t>
  </si>
  <si>
    <t>Custo com lavagens</t>
  </si>
  <si>
    <t>Mês</t>
  </si>
  <si>
    <t>Quilometragem mensal (Utilitário - Apoio)</t>
  </si>
  <si>
    <t>Recipiente térmico para água (5L) - 2 pçs</t>
  </si>
  <si>
    <t>Pá de Concha - 2 pçs</t>
  </si>
  <si>
    <t>Vassourão - 4 pçs</t>
  </si>
  <si>
    <t>Escova com cerdas de aço - 4 pçs</t>
  </si>
  <si>
    <t>pçs / ano</t>
  </si>
  <si>
    <t>Balde - 4 pçs</t>
  </si>
  <si>
    <t>Vassoura - 8 pçs</t>
  </si>
  <si>
    <t xml:space="preserve">Fator de utilização (FU) </t>
  </si>
  <si>
    <t>Equipes e Equipamentos de coleta</t>
  </si>
  <si>
    <t>Supervisor, Veículo utilitário e Adm. Local</t>
  </si>
  <si>
    <t>Vida útil do veículo</t>
  </si>
  <si>
    <t>Depreciação do veículo</t>
  </si>
  <si>
    <t>Depreciação mensal veículo</t>
  </si>
  <si>
    <t>Custo de gasolina / km rodado</t>
  </si>
  <si>
    <t>Custo mensal com gasolina</t>
  </si>
  <si>
    <t>l/5.000 km</t>
  </si>
  <si>
    <t>Custo de filtro de óleo</t>
  </si>
  <si>
    <t>Custo mensal com filtro de óleo</t>
  </si>
  <si>
    <t>Custo de aquisição do utilitário pick-up a gasolina</t>
  </si>
  <si>
    <t>Custo do utilitário pick-up a gasolina</t>
  </si>
  <si>
    <t>Investimento médio total do veículo</t>
  </si>
  <si>
    <t>Total por veículo utilitário pick-up</t>
  </si>
  <si>
    <t>Motorista</t>
  </si>
  <si>
    <t>Custo de aquisição do coletor compactador</t>
  </si>
  <si>
    <t>Idade do coletor compactador</t>
  </si>
  <si>
    <t>Depreciação do coletor compactador</t>
  </si>
  <si>
    <t>Depr. mensal coletor compactador</t>
  </si>
  <si>
    <t>Total do Veículo + Coletor Compactador</t>
  </si>
  <si>
    <t>Valor do coletor compactador proposto (V0)</t>
  </si>
  <si>
    <t>Investimento médio total do coletor compactador</t>
  </si>
  <si>
    <t>Remuneração mensal de capital coletor compactador</t>
  </si>
  <si>
    <t>3.2. Veículo utilitário Pick- up a gasolina (Supervisor e Apoio)</t>
  </si>
  <si>
    <t>5.1- Veículos de coleta</t>
  </si>
  <si>
    <t>5.2- Veículos de apoio (utilitário pick-up)</t>
  </si>
  <si>
    <t>Motorista (Vlr líq. desc. 6,% s/piso sal.)</t>
  </si>
  <si>
    <t>Supervisor</t>
  </si>
  <si>
    <t>1. Coleta de Resíduos Sólidos Urbanos (RSU) - Convencional Urbana</t>
  </si>
  <si>
    <t>1.4. Vale Transporte</t>
  </si>
  <si>
    <t>1.5. Vale-refeição (diário)</t>
  </si>
  <si>
    <t>1.6. Auxílio Alimentação (mensal)</t>
  </si>
  <si>
    <t>1.7. Plano de Benefício Social Familiar (mensal)</t>
  </si>
  <si>
    <t>Custo do jogo de pneus (185 / 65 / R 15</t>
  </si>
  <si>
    <r>
      <t xml:space="preserve">Custo jg. compl. </t>
    </r>
    <r>
      <rPr>
        <sz val="10"/>
        <rFont val="Arial"/>
        <family val="2"/>
      </rPr>
      <t>/ km rodado</t>
    </r>
  </si>
  <si>
    <t>Custo jogo pneus 275 / 80 / R 22,5 (p/2 camihões)</t>
  </si>
  <si>
    <t>Jaqueta com reflexivo (NBR 15.292) - 2 pçs</t>
  </si>
  <si>
    <t>Calça - 4 pçs</t>
  </si>
  <si>
    <t>Camiseta - 4 pçs</t>
  </si>
  <si>
    <t>Bonés - 3 pçs</t>
  </si>
  <si>
    <t>Botina de segurança c/ palmilha aço - 2 pares</t>
  </si>
  <si>
    <t>Capa de chuva amarela com reflexivo - 1 pç</t>
  </si>
  <si>
    <t>Protetor solar FPS 30 - 4 unid.</t>
  </si>
  <si>
    <t>CUSTO COM LAVAGEM UNIFORMES  -   Coletores</t>
  </si>
  <si>
    <t>Dias uso
s/lavar
(dias)</t>
  </si>
  <si>
    <t>Fator de utilização
(% ano)</t>
  </si>
  <si>
    <t>Unid.</t>
  </si>
  <si>
    <t>Qtde.
p/Func.</t>
  </si>
  <si>
    <t>Qtde. Lavagens mês</t>
  </si>
  <si>
    <t>Total pçs.
Lavadas
mês</t>
  </si>
  <si>
    <t>Peso
Gramas
p/pç</t>
  </si>
  <si>
    <t>Peso mensal
Kg</t>
  </si>
  <si>
    <t>Custo
Mensal</t>
  </si>
  <si>
    <t>Meias</t>
  </si>
  <si>
    <t>Camisetas</t>
  </si>
  <si>
    <t>pç</t>
  </si>
  <si>
    <t>Calça</t>
  </si>
  <si>
    <t>Boné</t>
  </si>
  <si>
    <t>Jaqueta (usa cinco meses)</t>
  </si>
  <si>
    <t>CUSTO COM LAVAGEM UNIFORMES  -   Motoristas</t>
  </si>
  <si>
    <t>Preço da lavagem por Kg</t>
  </si>
  <si>
    <t>Custo de óleo do motor /5.000 km rodados</t>
  </si>
  <si>
    <t>Formas de Tributação</t>
  </si>
  <si>
    <t>LUCRO REAL</t>
  </si>
  <si>
    <t>LUCRO PRESUMIDO</t>
  </si>
  <si>
    <t>Custo
(R$/mês)</t>
  </si>
  <si>
    <t>AV %</t>
  </si>
  <si>
    <t>CUSTO TOTAL MENSAL COM CUSTOS E DESP. OPERACIONAIS (R$/mês) - LUCRO REAL E PRESUMIDO</t>
  </si>
  <si>
    <t>CUSTO MENSAL COM BDI (R$/mês) - LUCRO REAL</t>
  </si>
  <si>
    <t>PREÇO MENSAL TOTAL (R$/mês) - LUCRO REAL   =  "A"</t>
  </si>
  <si>
    <t>CUSTO MENSAL COM BDI (R$/mês) - LUCRO PRESUMIDO</t>
  </si>
  <si>
    <t>PREÇO MENSAL TOTAL (R$/mês) - LUCRO PRESUMIDO   =  "AA"</t>
  </si>
  <si>
    <t>B.D.I. PARA EMPRESAS DO LUCRO REAL</t>
  </si>
  <si>
    <t>Composição BDI - Benefícios e Desp. Indiretas</t>
  </si>
  <si>
    <t>B.D.I. PARA EMPRESAS DO LUCRO PRESUMIDO</t>
  </si>
  <si>
    <r>
      <rPr>
        <b/>
        <sz val="10"/>
        <rFont val="Arial"/>
        <family val="2"/>
      </rPr>
      <t>Obs.</t>
    </r>
    <r>
      <rPr>
        <sz val="10"/>
        <rFont val="Arial"/>
        <family val="2"/>
      </rPr>
      <t>: Não foi atualizada, pois o site só tem dados disponíveis até 31/12/2019 e gerando conforme orientação, traz como estoque recuperado início do período, igual a zero.
Entendemos que este percentual espelha a realidade.</t>
    </r>
  </si>
  <si>
    <t>1.1. Supervisor</t>
  </si>
  <si>
    <t>1.3. Coletores</t>
  </si>
  <si>
    <t>1.2. Motoristas caminhão Compactador</t>
  </si>
  <si>
    <t>Supervisor (Vlr líq. desc. 6,% s/piso sal.)</t>
  </si>
  <si>
    <t>Coletor (Valor líq. desc. 6,% s/piso sal.)</t>
  </si>
  <si>
    <t>2.1. Uniformes e EPIs para motoristas</t>
  </si>
  <si>
    <t>Total do Efetivo motoristas</t>
  </si>
  <si>
    <t>2.2. Uniformes e EPIs para Coletor</t>
  </si>
  <si>
    <t>Jaqueta com reflexivo (NBR 15.292) - 4 pçs/Ano</t>
  </si>
  <si>
    <t>Calça - 8 pçs/Ano</t>
  </si>
  <si>
    <t>Camiseta - 8 pçs/Ano</t>
  </si>
  <si>
    <t>Bonés - 2 pçs/Ano</t>
  </si>
  <si>
    <t>Calçado de segurança c/palmilha aço - 6 pares/Ano</t>
  </si>
  <si>
    <t>Meias - 8 pares/Ano</t>
  </si>
  <si>
    <t>Capa de chuva amarela com reflexivo - 1 pç/Ano</t>
  </si>
  <si>
    <t>Colete refletivo - 4 pç/Ano</t>
  </si>
  <si>
    <t>Luvas de proteção - 8 pares/ano</t>
  </si>
  <si>
    <t>Protetor solar FPS 30 - 4 unid./Ano</t>
  </si>
  <si>
    <t>3.1. Veículo Coletor Compactador 15 m³</t>
  </si>
  <si>
    <t>Licenciamento</t>
  </si>
  <si>
    <t>Custo mensal com Arla 32</t>
  </si>
  <si>
    <t>Km</t>
  </si>
  <si>
    <t>Custo com balsa</t>
  </si>
  <si>
    <t>19/03 - São José</t>
  </si>
  <si>
    <t>04/07 - Aniversário do município</t>
  </si>
  <si>
    <t>6. Benefícios e Despesas Indiretas - BDI - LUCRO REAL</t>
  </si>
  <si>
    <t>7. Benefícios e Despesas Indiretas - BDI - LUCRO PRESUMIDO</t>
  </si>
  <si>
    <t>Salário do supervisor</t>
  </si>
  <si>
    <t>Total</t>
  </si>
  <si>
    <t>Residual</t>
  </si>
  <si>
    <t>Salário de motorista</t>
  </si>
  <si>
    <r>
      <t xml:space="preserve">Custo jg. compl. + </t>
    </r>
    <r>
      <rPr>
        <b/>
        <sz val="10"/>
        <color theme="1"/>
        <rFont val="Arial"/>
        <family val="2"/>
      </rPr>
      <t xml:space="preserve">2 </t>
    </r>
    <r>
      <rPr>
        <sz val="10"/>
        <color theme="1"/>
        <rFont val="Arial"/>
        <family val="2"/>
      </rPr>
      <t>recap./ km rodado (p/2 caminh.)</t>
    </r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</si>
</sst>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6"/>
      <color indexed="20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8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8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165" fontId="8" fillId="0" borderId="2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8" fillId="0" borderId="1" xfId="3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5" fontId="5" fillId="0" borderId="6" xfId="3" applyFont="1" applyBorder="1" applyAlignment="1">
      <alignment vertical="center"/>
    </xf>
    <xf numFmtId="165" fontId="5" fillId="0" borderId="7" xfId="3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5" fontId="8" fillId="0" borderId="6" xfId="3" applyFont="1" applyBorder="1" applyAlignment="1">
      <alignment vertical="center"/>
    </xf>
    <xf numFmtId="165" fontId="8" fillId="0" borderId="7" xfId="3" applyFont="1" applyBorder="1" applyAlignment="1">
      <alignment vertical="center"/>
    </xf>
    <xf numFmtId="165" fontId="5" fillId="0" borderId="0" xfId="3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5" fontId="5" fillId="0" borderId="0" xfId="3" applyFont="1" applyBorder="1" applyAlignment="1">
      <alignment vertical="center"/>
    </xf>
    <xf numFmtId="165" fontId="0" fillId="0" borderId="10" xfId="3" applyFont="1" applyBorder="1" applyAlignment="1">
      <alignment vertical="center"/>
    </xf>
    <xf numFmtId="165" fontId="5" fillId="0" borderId="11" xfId="3" applyFont="1" applyBorder="1" applyAlignment="1">
      <alignment horizontal="center" vertical="center"/>
    </xf>
    <xf numFmtId="165" fontId="5" fillId="0" borderId="5" xfId="3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centerContinuous" vertical="center"/>
    </xf>
    <xf numFmtId="165" fontId="0" fillId="0" borderId="8" xfId="0" applyNumberFormat="1" applyBorder="1" applyAlignment="1">
      <alignment vertical="center"/>
    </xf>
    <xf numFmtId="4" fontId="0" fillId="0" borderId="8" xfId="0" applyNumberFormat="1" applyBorder="1" applyAlignment="1">
      <alignment horizontal="centerContinuous" vertical="center"/>
    </xf>
    <xf numFmtId="165" fontId="5" fillId="0" borderId="12" xfId="3" applyFont="1" applyBorder="1" applyAlignment="1">
      <alignment horizontal="right" vertical="center"/>
    </xf>
    <xf numFmtId="165" fontId="0" fillId="0" borderId="13" xfId="3" applyFont="1" applyBorder="1" applyAlignment="1">
      <alignment vertical="center"/>
    </xf>
    <xf numFmtId="165" fontId="8" fillId="0" borderId="1" xfId="3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0" fontId="0" fillId="0" borderId="14" xfId="2" applyNumberFormat="1" applyFont="1" applyBorder="1" applyAlignment="1">
      <alignment vertical="center"/>
    </xf>
    <xf numFmtId="165" fontId="8" fillId="0" borderId="0" xfId="3" applyFont="1" applyBorder="1" applyAlignment="1">
      <alignment vertical="center"/>
    </xf>
    <xf numFmtId="165" fontId="5" fillId="0" borderId="18" xfId="3" applyFont="1" applyBorder="1" applyAlignment="1">
      <alignment horizontal="center" vertical="center"/>
    </xf>
    <xf numFmtId="165" fontId="3" fillId="0" borderId="13" xfId="3" applyFont="1" applyBorder="1" applyAlignment="1">
      <alignment horizontal="left" vertical="center"/>
    </xf>
    <xf numFmtId="165" fontId="8" fillId="0" borderId="8" xfId="3" applyFont="1" applyBorder="1" applyAlignment="1">
      <alignment vertical="center"/>
    </xf>
    <xf numFmtId="165" fontId="8" fillId="0" borderId="13" xfId="3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165" fontId="5" fillId="0" borderId="27" xfId="3" applyFont="1" applyBorder="1" applyAlignment="1">
      <alignment vertical="center"/>
    </xf>
    <xf numFmtId="4" fontId="5" fillId="0" borderId="28" xfId="0" applyNumberFormat="1" applyFont="1" applyBorder="1" applyAlignment="1">
      <alignment vertical="center"/>
    </xf>
    <xf numFmtId="165" fontId="8" fillId="0" borderId="18" xfId="3" applyFont="1" applyBorder="1" applyAlignment="1">
      <alignment vertical="center"/>
    </xf>
    <xf numFmtId="165" fontId="8" fillId="0" borderId="10" xfId="3" applyFont="1" applyBorder="1" applyAlignment="1">
      <alignment vertical="center"/>
    </xf>
    <xf numFmtId="1" fontId="5" fillId="0" borderId="30" xfId="3" applyNumberFormat="1" applyFont="1" applyBorder="1" applyAlignment="1">
      <alignment horizontal="center" vertical="center"/>
    </xf>
    <xf numFmtId="165" fontId="14" fillId="0" borderId="1" xfId="3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8" fillId="0" borderId="1" xfId="3" applyFont="1" applyFill="1" applyBorder="1" applyAlignment="1">
      <alignment horizontal="center" vertical="center"/>
    </xf>
    <xf numFmtId="166" fontId="8" fillId="0" borderId="1" xfId="3" applyNumberFormat="1" applyFont="1" applyBorder="1" applyAlignment="1">
      <alignment horizontal="center" vertical="center"/>
    </xf>
    <xf numFmtId="166" fontId="8" fillId="0" borderId="1" xfId="3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5" fontId="5" fillId="0" borderId="1" xfId="3" applyFont="1" applyBorder="1" applyAlignment="1">
      <alignment horizontal="center" vertical="center"/>
    </xf>
    <xf numFmtId="0" fontId="5" fillId="0" borderId="0" xfId="0" applyFont="1"/>
    <xf numFmtId="165" fontId="5" fillId="0" borderId="1" xfId="3" applyFont="1" applyFill="1" applyBorder="1" applyAlignment="1">
      <alignment horizontal="center" vertical="center"/>
    </xf>
    <xf numFmtId="165" fontId="5" fillId="0" borderId="3" xfId="3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65" fontId="5" fillId="0" borderId="13" xfId="3" applyFont="1" applyBorder="1" applyAlignment="1">
      <alignment vertical="center"/>
    </xf>
    <xf numFmtId="165" fontId="5" fillId="0" borderId="8" xfId="0" applyNumberFormat="1" applyFont="1" applyBorder="1" applyAlignment="1">
      <alignment vertical="center"/>
    </xf>
    <xf numFmtId="165" fontId="5" fillId="0" borderId="8" xfId="3" applyFont="1" applyBorder="1" applyAlignment="1">
      <alignment vertical="center"/>
    </xf>
    <xf numFmtId="10" fontId="5" fillId="0" borderId="14" xfId="2" applyNumberFormat="1" applyFont="1" applyBorder="1" applyAlignment="1">
      <alignment vertical="center"/>
    </xf>
    <xf numFmtId="165" fontId="5" fillId="0" borderId="36" xfId="3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165" fontId="8" fillId="0" borderId="37" xfId="3" applyFont="1" applyBorder="1" applyAlignment="1">
      <alignment vertical="center"/>
    </xf>
    <xf numFmtId="4" fontId="5" fillId="0" borderId="8" xfId="0" applyNumberFormat="1" applyFont="1" applyBorder="1" applyAlignment="1">
      <alignment horizontal="centerContinuous" vertical="center"/>
    </xf>
    <xf numFmtId="165" fontId="8" fillId="5" borderId="1" xfId="3" applyFont="1" applyFill="1" applyBorder="1" applyAlignment="1">
      <alignment horizontal="center" vertical="center"/>
    </xf>
    <xf numFmtId="165" fontId="8" fillId="5" borderId="1" xfId="3" applyFont="1" applyFill="1" applyBorder="1" applyAlignment="1">
      <alignment vertical="center"/>
    </xf>
    <xf numFmtId="10" fontId="8" fillId="0" borderId="14" xfId="2" applyNumberFormat="1" applyFont="1" applyBorder="1" applyAlignment="1">
      <alignment vertical="center"/>
    </xf>
    <xf numFmtId="0" fontId="7" fillId="0" borderId="0" xfId="0" applyFont="1"/>
    <xf numFmtId="165" fontId="8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36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7" xfId="3" applyFont="1" applyFill="1" applyBorder="1" applyAlignment="1">
      <alignment vertical="center"/>
    </xf>
    <xf numFmtId="0" fontId="8" fillId="0" borderId="1" xfId="0" applyNumberFormat="1" applyFont="1" applyBorder="1" applyAlignment="1">
      <alignment horizontal="center" vertical="center"/>
    </xf>
    <xf numFmtId="0" fontId="18" fillId="0" borderId="13" xfId="0" applyFont="1" applyBorder="1"/>
    <xf numFmtId="0" fontId="8" fillId="0" borderId="0" xfId="0" applyFont="1" applyBorder="1"/>
    <xf numFmtId="0" fontId="18" fillId="0" borderId="40" xfId="0" applyFont="1" applyBorder="1"/>
    <xf numFmtId="0" fontId="18" fillId="2" borderId="19" xfId="0" applyFont="1" applyFill="1" applyBorder="1"/>
    <xf numFmtId="0" fontId="18" fillId="0" borderId="22" xfId="0" applyFont="1" applyBorder="1"/>
    <xf numFmtId="0" fontId="18" fillId="0" borderId="41" xfId="0" applyFont="1" applyBorder="1"/>
    <xf numFmtId="0" fontId="18" fillId="0" borderId="19" xfId="0" applyFont="1" applyBorder="1"/>
    <xf numFmtId="0" fontId="18" fillId="0" borderId="27" xfId="0" applyFont="1" applyBorder="1"/>
    <xf numFmtId="0" fontId="19" fillId="0" borderId="22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0" fontId="19" fillId="0" borderId="19" xfId="0" applyNumberFormat="1" applyFont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0" fontId="23" fillId="0" borderId="19" xfId="0" applyNumberFormat="1" applyFont="1" applyBorder="1" applyAlignment="1">
      <alignment horizontal="right" vertical="center"/>
    </xf>
    <xf numFmtId="0" fontId="19" fillId="4" borderId="22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/>
    </xf>
    <xf numFmtId="10" fontId="23" fillId="4" borderId="19" xfId="0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10" fontId="8" fillId="0" borderId="0" xfId="0" applyNumberFormat="1" applyFont="1"/>
    <xf numFmtId="9" fontId="19" fillId="0" borderId="0" xfId="2" applyFont="1" applyBorder="1" applyAlignment="1">
      <alignment horizontal="right" vertical="center"/>
    </xf>
    <xf numFmtId="10" fontId="8" fillId="0" borderId="0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19" fillId="7" borderId="2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10" fontId="23" fillId="7" borderId="35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0" fontId="23" fillId="0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left" vertical="center"/>
    </xf>
    <xf numFmtId="10" fontId="19" fillId="0" borderId="0" xfId="0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/>
    </xf>
    <xf numFmtId="10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10" fontId="23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justify" vertical="center"/>
    </xf>
    <xf numFmtId="0" fontId="10" fillId="0" borderId="0" xfId="1" applyFont="1" applyBorder="1" applyAlignment="1" applyProtection="1">
      <alignment horizontal="left" vertical="center"/>
    </xf>
    <xf numFmtId="0" fontId="27" fillId="0" borderId="0" xfId="0" applyFont="1" applyBorder="1"/>
    <xf numFmtId="0" fontId="19" fillId="0" borderId="0" xfId="0" applyFont="1" applyBorder="1" applyAlignment="1">
      <alignment horizontal="right" vertical="center"/>
    </xf>
    <xf numFmtId="0" fontId="10" fillId="0" borderId="0" xfId="1" applyFont="1" applyBorder="1" applyAlignment="1" applyProtection="1">
      <alignment vertical="center"/>
    </xf>
    <xf numFmtId="0" fontId="7" fillId="0" borderId="14" xfId="0" applyFont="1" applyBorder="1"/>
    <xf numFmtId="0" fontId="7" fillId="0" borderId="22" xfId="0" applyFont="1" applyBorder="1"/>
    <xf numFmtId="0" fontId="7" fillId="2" borderId="19" xfId="0" applyFont="1" applyFill="1" applyBorder="1"/>
    <xf numFmtId="0" fontId="7" fillId="0" borderId="40" xfId="0" applyFont="1" applyBorder="1"/>
    <xf numFmtId="0" fontId="7" fillId="2" borderId="41" xfId="0" applyFont="1" applyFill="1" applyBorder="1"/>
    <xf numFmtId="0" fontId="7" fillId="0" borderId="42" xfId="0" applyFont="1" applyBorder="1"/>
    <xf numFmtId="0" fontId="7" fillId="2" borderId="43" xfId="0" applyFont="1" applyFill="1" applyBorder="1"/>
    <xf numFmtId="0" fontId="7" fillId="0" borderId="36" xfId="0" applyFont="1" applyBorder="1"/>
    <xf numFmtId="0" fontId="7" fillId="0" borderId="37" xfId="0" applyFont="1" applyBorder="1"/>
    <xf numFmtId="0" fontId="9" fillId="0" borderId="41" xfId="0" applyFont="1" applyBorder="1"/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0" fontId="7" fillId="0" borderId="19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10" fontId="7" fillId="0" borderId="26" xfId="0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/>
    </xf>
    <xf numFmtId="10" fontId="9" fillId="4" borderId="7" xfId="0" applyNumberFormat="1" applyFont="1" applyFill="1" applyBorder="1" applyAlignment="1">
      <alignment horizontal="center" vertical="center" wrapText="1"/>
    </xf>
    <xf numFmtId="0" fontId="8" fillId="0" borderId="45" xfId="0" applyFont="1" applyBorder="1"/>
    <xf numFmtId="0" fontId="20" fillId="0" borderId="45" xfId="0" applyFont="1" applyBorder="1" applyAlignment="1">
      <alignment horizontal="justify"/>
    </xf>
    <xf numFmtId="0" fontId="20" fillId="0" borderId="46" xfId="0" applyFont="1" applyBorder="1" applyAlignment="1">
      <alignment horizontal="justify"/>
    </xf>
    <xf numFmtId="0" fontId="17" fillId="8" borderId="44" xfId="0" applyFont="1" applyFill="1" applyBorder="1" applyAlignment="1">
      <alignment horizontal="center"/>
    </xf>
    <xf numFmtId="1" fontId="8" fillId="0" borderId="0" xfId="3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165" fontId="5" fillId="0" borderId="5" xfId="3" applyFont="1" applyBorder="1" applyAlignment="1">
      <alignment vertical="center"/>
    </xf>
    <xf numFmtId="0" fontId="23" fillId="0" borderId="2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5" fillId="0" borderId="8" xfId="3" applyFont="1" applyBorder="1" applyAlignment="1">
      <alignment horizontal="center" vertical="center"/>
    </xf>
    <xf numFmtId="167" fontId="8" fillId="0" borderId="1" xfId="3" applyNumberFormat="1" applyFont="1" applyBorder="1" applyAlignment="1">
      <alignment horizontal="center" vertical="center"/>
    </xf>
    <xf numFmtId="166" fontId="5" fillId="0" borderId="1" xfId="3" applyNumberFormat="1" applyFont="1" applyBorder="1" applyAlignment="1">
      <alignment horizontal="center" vertical="center"/>
    </xf>
    <xf numFmtId="167" fontId="5" fillId="0" borderId="1" xfId="3" applyNumberFormat="1" applyFont="1" applyBorder="1" applyAlignment="1">
      <alignment horizontal="center" vertical="center"/>
    </xf>
    <xf numFmtId="167" fontId="8" fillId="0" borderId="2" xfId="3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/>
    <xf numFmtId="0" fontId="5" fillId="0" borderId="47" xfId="0" applyFont="1" applyBorder="1" applyAlignment="1">
      <alignment horizontal="center" vertical="center"/>
    </xf>
    <xf numFmtId="165" fontId="5" fillId="0" borderId="47" xfId="3" applyFont="1" applyBorder="1" applyAlignment="1">
      <alignment horizontal="center" vertical="center"/>
    </xf>
    <xf numFmtId="165" fontId="5" fillId="0" borderId="47" xfId="3" applyFont="1" applyFill="1" applyBorder="1" applyAlignment="1">
      <alignment horizontal="center" vertical="center"/>
    </xf>
    <xf numFmtId="0" fontId="7" fillId="0" borderId="19" xfId="0" applyFont="1" applyFill="1" applyBorder="1"/>
    <xf numFmtId="169" fontId="9" fillId="0" borderId="19" xfId="0" applyNumberFormat="1" applyFont="1" applyBorder="1"/>
    <xf numFmtId="9" fontId="18" fillId="0" borderId="19" xfId="2" applyFont="1" applyBorder="1"/>
    <xf numFmtId="10" fontId="18" fillId="0" borderId="19" xfId="2" applyNumberFormat="1" applyFont="1" applyBorder="1"/>
    <xf numFmtId="9" fontId="9" fillId="0" borderId="30" xfId="2" applyFont="1" applyBorder="1"/>
    <xf numFmtId="0" fontId="7" fillId="0" borderId="48" xfId="0" applyFont="1" applyBorder="1"/>
    <xf numFmtId="0" fontId="3" fillId="0" borderId="0" xfId="4" applyFont="1"/>
    <xf numFmtId="0" fontId="5" fillId="0" borderId="49" xfId="4" applyFont="1" applyBorder="1"/>
    <xf numFmtId="166" fontId="3" fillId="0" borderId="50" xfId="5" applyNumberFormat="1" applyFont="1" applyBorder="1"/>
    <xf numFmtId="166" fontId="5" fillId="0" borderId="50" xfId="5" applyNumberFormat="1" applyFont="1" applyBorder="1"/>
    <xf numFmtId="16" fontId="3" fillId="0" borderId="49" xfId="4" applyNumberFormat="1" applyFont="1" applyBorder="1"/>
    <xf numFmtId="0" fontId="3" fillId="0" borderId="49" xfId="4" applyFont="1" applyBorder="1"/>
    <xf numFmtId="166" fontId="3" fillId="0" borderId="50" xfId="5" applyNumberFormat="1" applyFont="1" applyFill="1" applyBorder="1"/>
    <xf numFmtId="0" fontId="5" fillId="0" borderId="51" xfId="4" applyFont="1" applyBorder="1"/>
    <xf numFmtId="165" fontId="5" fillId="0" borderId="52" xfId="5" applyNumberFormat="1" applyFont="1" applyBorder="1"/>
    <xf numFmtId="166" fontId="3" fillId="0" borderId="0" xfId="5" applyNumberFormat="1" applyFont="1"/>
    <xf numFmtId="0" fontId="12" fillId="0" borderId="0" xfId="4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8" fillId="0" borderId="27" xfId="3" applyFont="1" applyBorder="1" applyAlignment="1">
      <alignment vertical="center"/>
    </xf>
    <xf numFmtId="165" fontId="8" fillId="0" borderId="28" xfId="3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1" fontId="8" fillId="0" borderId="30" xfId="3" applyNumberFormat="1" applyFont="1" applyBorder="1" applyAlignment="1">
      <alignment horizontal="center" vertical="center"/>
    </xf>
    <xf numFmtId="165" fontId="0" fillId="0" borderId="13" xfId="3" applyFont="1" applyFill="1" applyBorder="1" applyAlignment="1">
      <alignment vertical="center"/>
    </xf>
    <xf numFmtId="165" fontId="5" fillId="0" borderId="13" xfId="3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8" fillId="0" borderId="0" xfId="3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165" fontId="8" fillId="0" borderId="36" xfId="3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65" fontId="5" fillId="0" borderId="37" xfId="3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5" fontId="5" fillId="0" borderId="37" xfId="3" applyFont="1" applyFill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32" fillId="0" borderId="36" xfId="1" applyFont="1" applyBorder="1" applyAlignment="1" applyProtection="1">
      <alignment vertical="center"/>
    </xf>
    <xf numFmtId="165" fontId="8" fillId="0" borderId="37" xfId="3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0" fontId="3" fillId="0" borderId="4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4" fillId="0" borderId="3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165" fontId="5" fillId="0" borderId="37" xfId="3" applyFont="1" applyBorder="1" applyAlignment="1">
      <alignment horizontal="center" vertical="center"/>
    </xf>
    <xf numFmtId="0" fontId="32" fillId="0" borderId="36" xfId="1" applyFont="1" applyFill="1" applyBorder="1" applyAlignment="1" applyProtection="1">
      <alignment vertical="center"/>
    </xf>
    <xf numFmtId="0" fontId="8" fillId="0" borderId="42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left" vertical="center" wrapText="1"/>
    </xf>
    <xf numFmtId="165" fontId="5" fillId="0" borderId="37" xfId="3" applyFont="1" applyFill="1" applyBorder="1" applyAlignment="1">
      <alignment horizontal="center" vertical="center"/>
    </xf>
    <xf numFmtId="165" fontId="8" fillId="0" borderId="37" xfId="3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166" fontId="5" fillId="0" borderId="7" xfId="3" applyNumberFormat="1" applyFont="1" applyBorder="1" applyAlignment="1">
      <alignment horizontal="center" vertical="center"/>
    </xf>
    <xf numFmtId="165" fontId="8" fillId="0" borderId="1" xfId="3" applyFont="1" applyFill="1" applyBorder="1" applyAlignment="1">
      <alignment vertical="center"/>
    </xf>
    <xf numFmtId="165" fontId="3" fillId="0" borderId="2" xfId="3" applyFont="1" applyBorder="1" applyAlignment="1">
      <alignment horizontal="center" vertical="center"/>
    </xf>
    <xf numFmtId="165" fontId="3" fillId="0" borderId="37" xfId="3" applyFont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165" fontId="3" fillId="0" borderId="1" xfId="3" applyFont="1" applyBorder="1" applyAlignment="1">
      <alignment horizontal="center" vertical="center"/>
    </xf>
    <xf numFmtId="165" fontId="3" fillId="0" borderId="1" xfId="3" applyNumberFormat="1" applyFont="1" applyFill="1" applyBorder="1" applyAlignment="1">
      <alignment vertical="center"/>
    </xf>
    <xf numFmtId="165" fontId="3" fillId="0" borderId="1" xfId="3" applyFont="1" applyBorder="1" applyAlignment="1">
      <alignment vertical="center"/>
    </xf>
    <xf numFmtId="165" fontId="3" fillId="0" borderId="1" xfId="3" applyNumberFormat="1" applyFont="1" applyBorder="1" applyAlignment="1">
      <alignment vertical="center"/>
    </xf>
    <xf numFmtId="0" fontId="18" fillId="0" borderId="0" xfId="10" applyFont="1"/>
    <xf numFmtId="0" fontId="18" fillId="0" borderId="0" xfId="10" applyFont="1" applyAlignment="1">
      <alignment horizontal="center"/>
    </xf>
    <xf numFmtId="0" fontId="24" fillId="0" borderId="0" xfId="10" applyFont="1"/>
    <xf numFmtId="0" fontId="18" fillId="0" borderId="1" xfId="10" applyFont="1" applyFill="1" applyBorder="1"/>
    <xf numFmtId="0" fontId="18" fillId="0" borderId="1" xfId="10" applyFont="1" applyFill="1" applyBorder="1" applyAlignment="1">
      <alignment horizontal="center" wrapText="1"/>
    </xf>
    <xf numFmtId="0" fontId="24" fillId="0" borderId="1" xfId="10" applyFont="1" applyFill="1" applyBorder="1"/>
    <xf numFmtId="0" fontId="24" fillId="0" borderId="1" xfId="10" applyFont="1" applyFill="1" applyBorder="1" applyAlignment="1">
      <alignment horizontal="center"/>
    </xf>
    <xf numFmtId="165" fontId="24" fillId="0" borderId="1" xfId="3" applyFont="1" applyFill="1" applyBorder="1" applyAlignment="1">
      <alignment horizontal="center"/>
    </xf>
    <xf numFmtId="167" fontId="24" fillId="0" borderId="1" xfId="3" applyNumberFormat="1" applyFont="1" applyFill="1" applyBorder="1" applyAlignment="1">
      <alignment horizontal="center"/>
    </xf>
    <xf numFmtId="43" fontId="24" fillId="0" borderId="0" xfId="10" applyNumberFormat="1" applyFont="1"/>
    <xf numFmtId="167" fontId="18" fillId="0" borderId="1" xfId="3" applyNumberFormat="1" applyFont="1" applyFill="1" applyBorder="1" applyAlignment="1">
      <alignment horizontal="center"/>
    </xf>
    <xf numFmtId="165" fontId="18" fillId="9" borderId="1" xfId="3" applyFont="1" applyFill="1" applyBorder="1" applyAlignment="1">
      <alignment horizontal="center"/>
    </xf>
    <xf numFmtId="0" fontId="24" fillId="0" borderId="0" xfId="10" applyFont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5" fontId="3" fillId="0" borderId="2" xfId="3" applyFont="1" applyFill="1" applyBorder="1" applyAlignment="1">
      <alignment horizontal="center" vertical="center"/>
    </xf>
    <xf numFmtId="165" fontId="6" fillId="0" borderId="24" xfId="3" applyFont="1" applyFill="1" applyBorder="1" applyAlignment="1">
      <alignment horizontal="left" vertical="center"/>
    </xf>
    <xf numFmtId="165" fontId="6" fillId="0" borderId="25" xfId="3" applyFont="1" applyFill="1" applyBorder="1" applyAlignment="1">
      <alignment horizontal="center" vertical="center"/>
    </xf>
    <xf numFmtId="165" fontId="5" fillId="0" borderId="36" xfId="3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centerContinuous" vertical="center"/>
    </xf>
    <xf numFmtId="10" fontId="5" fillId="0" borderId="58" xfId="2" applyNumberFormat="1" applyFont="1" applyBorder="1" applyAlignment="1">
      <alignment vertical="center"/>
    </xf>
    <xf numFmtId="10" fontId="5" fillId="4" borderId="14" xfId="2" applyNumberFormat="1" applyFont="1" applyFill="1" applyBorder="1" applyAlignment="1">
      <alignment vertical="center"/>
    </xf>
    <xf numFmtId="165" fontId="5" fillId="0" borderId="10" xfId="3" applyFont="1" applyBorder="1" applyAlignment="1">
      <alignment horizontal="center" vertical="center" wrapText="1"/>
    </xf>
    <xf numFmtId="168" fontId="5" fillId="0" borderId="9" xfId="0" applyNumberFormat="1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168" fontId="5" fillId="4" borderId="57" xfId="0" applyNumberFormat="1" applyFont="1" applyFill="1" applyBorder="1" applyAlignment="1">
      <alignment vertical="center"/>
    </xf>
    <xf numFmtId="168" fontId="5" fillId="0" borderId="59" xfId="0" applyNumberFormat="1" applyFont="1" applyBorder="1" applyAlignment="1">
      <alignment vertical="center"/>
    </xf>
    <xf numFmtId="165" fontId="5" fillId="0" borderId="18" xfId="3" applyFont="1" applyBorder="1" applyAlignment="1">
      <alignment horizontal="center" vertical="center" wrapText="1"/>
    </xf>
    <xf numFmtId="168" fontId="5" fillId="0" borderId="22" xfId="0" applyNumberFormat="1" applyFont="1" applyBorder="1" applyAlignment="1">
      <alignment vertical="center"/>
    </xf>
    <xf numFmtId="168" fontId="0" fillId="0" borderId="22" xfId="0" applyNumberFormat="1" applyBorder="1" applyAlignment="1">
      <alignment vertical="center"/>
    </xf>
    <xf numFmtId="168" fontId="5" fillId="0" borderId="40" xfId="0" applyNumberFormat="1" applyFont="1" applyBorder="1" applyAlignment="1">
      <alignment vertical="center"/>
    </xf>
    <xf numFmtId="168" fontId="5" fillId="4" borderId="23" xfId="0" applyNumberFormat="1" applyFont="1" applyFill="1" applyBorder="1" applyAlignment="1">
      <alignment vertical="center"/>
    </xf>
    <xf numFmtId="10" fontId="5" fillId="4" borderId="35" xfId="2" applyNumberFormat="1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165" fontId="3" fillId="5" borderId="1" xfId="3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5" fontId="3" fillId="0" borderId="6" xfId="3" applyFont="1" applyBorder="1" applyAlignment="1">
      <alignment vertical="center"/>
    </xf>
    <xf numFmtId="165" fontId="3" fillId="0" borderId="7" xfId="3" applyFont="1" applyBorder="1" applyAlignment="1">
      <alignment vertical="center"/>
    </xf>
    <xf numFmtId="164" fontId="5" fillId="9" borderId="56" xfId="0" applyNumberFormat="1" applyFont="1" applyFill="1" applyBorder="1" applyAlignment="1">
      <alignment vertical="center"/>
    </xf>
    <xf numFmtId="164" fontId="5" fillId="9" borderId="33" xfId="0" applyNumberFormat="1" applyFont="1" applyFill="1" applyBorder="1" applyAlignment="1">
      <alignment vertical="center"/>
    </xf>
    <xf numFmtId="0" fontId="5" fillId="0" borderId="5" xfId="4" applyFont="1" applyFill="1" applyBorder="1" applyAlignment="1"/>
    <xf numFmtId="0" fontId="5" fillId="0" borderId="33" xfId="4" applyFont="1" applyBorder="1" applyAlignment="1">
      <alignment horizontal="right"/>
    </xf>
    <xf numFmtId="165" fontId="3" fillId="0" borderId="0" xfId="3" applyFont="1" applyAlignment="1">
      <alignment vertical="center"/>
    </xf>
    <xf numFmtId="1" fontId="8" fillId="10" borderId="11" xfId="3" applyNumberFormat="1" applyFont="1" applyFill="1" applyBorder="1" applyAlignment="1">
      <alignment horizontal="center" vertical="center"/>
    </xf>
    <xf numFmtId="1" fontId="8" fillId="10" borderId="19" xfId="3" applyNumberFormat="1" applyFont="1" applyFill="1" applyBorder="1" applyAlignment="1">
      <alignment horizontal="center" vertical="center"/>
    </xf>
    <xf numFmtId="165" fontId="3" fillId="10" borderId="60" xfId="3" applyFont="1" applyFill="1" applyBorder="1" applyAlignment="1">
      <alignment horizontal="center" vertical="center"/>
    </xf>
    <xf numFmtId="165" fontId="3" fillId="10" borderId="61" xfId="3" applyFont="1" applyFill="1" applyBorder="1" applyAlignment="1">
      <alignment horizontal="center" vertical="center"/>
    </xf>
    <xf numFmtId="9" fontId="5" fillId="10" borderId="7" xfId="2" applyFont="1" applyFill="1" applyBorder="1" applyAlignment="1">
      <alignment vertical="center"/>
    </xf>
    <xf numFmtId="165" fontId="8" fillId="10" borderId="2" xfId="3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1" fontId="8" fillId="10" borderId="1" xfId="0" applyNumberFormat="1" applyFont="1" applyFill="1" applyBorder="1" applyAlignment="1">
      <alignment horizontal="center" vertical="center"/>
    </xf>
    <xf numFmtId="165" fontId="8" fillId="10" borderId="0" xfId="3" applyFont="1" applyFill="1" applyBorder="1" applyAlignment="1">
      <alignment vertical="center"/>
    </xf>
    <xf numFmtId="0" fontId="8" fillId="10" borderId="0" xfId="0" applyFont="1" applyFill="1" applyBorder="1" applyAlignment="1">
      <alignment vertical="center"/>
    </xf>
    <xf numFmtId="9" fontId="8" fillId="10" borderId="1" xfId="2" applyFont="1" applyFill="1" applyBorder="1" applyAlignment="1">
      <alignment vertical="center"/>
    </xf>
    <xf numFmtId="165" fontId="8" fillId="10" borderId="1" xfId="3" applyNumberFormat="1" applyFont="1" applyFill="1" applyBorder="1" applyAlignment="1">
      <alignment horizontal="center" vertical="center"/>
    </xf>
    <xf numFmtId="4" fontId="3" fillId="10" borderId="1" xfId="0" applyNumberFormat="1" applyFont="1" applyFill="1" applyBorder="1" applyAlignment="1">
      <alignment horizontal="center" vertical="center"/>
    </xf>
    <xf numFmtId="165" fontId="3" fillId="10" borderId="2" xfId="3" applyFont="1" applyFill="1" applyBorder="1" applyAlignment="1">
      <alignment horizontal="center" vertical="center"/>
    </xf>
    <xf numFmtId="4" fontId="3" fillId="10" borderId="1" xfId="3" applyNumberFormat="1" applyFont="1" applyFill="1" applyBorder="1" applyAlignment="1">
      <alignment horizontal="center" vertical="center"/>
    </xf>
    <xf numFmtId="4" fontId="8" fillId="10" borderId="1" xfId="0" applyNumberFormat="1" applyFont="1" applyFill="1" applyBorder="1" applyAlignment="1">
      <alignment horizontal="center" vertical="center"/>
    </xf>
    <xf numFmtId="3" fontId="8" fillId="10" borderId="1" xfId="0" applyNumberFormat="1" applyFont="1" applyFill="1" applyBorder="1" applyAlignment="1">
      <alignment vertical="center"/>
    </xf>
    <xf numFmtId="165" fontId="8" fillId="10" borderId="1" xfId="3" applyFont="1" applyFill="1" applyBorder="1" applyAlignment="1">
      <alignment horizontal="center" vertical="center"/>
    </xf>
    <xf numFmtId="167" fontId="8" fillId="10" borderId="2" xfId="3" applyNumberFormat="1" applyFont="1" applyFill="1" applyBorder="1" applyAlignment="1">
      <alignment horizontal="center" vertical="center"/>
    </xf>
    <xf numFmtId="4" fontId="8" fillId="10" borderId="2" xfId="0" applyNumberFormat="1" applyFont="1" applyFill="1" applyBorder="1" applyAlignment="1">
      <alignment horizontal="center" vertical="center"/>
    </xf>
    <xf numFmtId="166" fontId="3" fillId="10" borderId="1" xfId="3" applyNumberFormat="1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3" fontId="8" fillId="10" borderId="1" xfId="0" applyNumberFormat="1" applyFont="1" applyFill="1" applyBorder="1" applyAlignment="1">
      <alignment horizontal="center" vertical="center"/>
    </xf>
    <xf numFmtId="13" fontId="8" fillId="10" borderId="1" xfId="0" applyNumberFormat="1" applyFont="1" applyFill="1" applyBorder="1" applyAlignment="1">
      <alignment horizontal="center" vertical="center"/>
    </xf>
    <xf numFmtId="165" fontId="5" fillId="9" borderId="4" xfId="3" applyFont="1" applyFill="1" applyBorder="1" applyAlignment="1">
      <alignment vertical="center"/>
    </xf>
    <xf numFmtId="165" fontId="8" fillId="0" borderId="1" xfId="3" applyNumberFormat="1" applyFont="1" applyFill="1" applyBorder="1" applyAlignment="1">
      <alignment horizontal="center" vertical="center"/>
    </xf>
    <xf numFmtId="165" fontId="8" fillId="0" borderId="1" xfId="3" applyNumberFormat="1" applyFont="1" applyFill="1" applyBorder="1" applyAlignment="1">
      <alignment vertical="center"/>
    </xf>
    <xf numFmtId="0" fontId="15" fillId="11" borderId="15" xfId="0" applyFont="1" applyFill="1" applyBorder="1" applyAlignment="1">
      <alignment horizontal="center" vertical="center"/>
    </xf>
    <xf numFmtId="0" fontId="15" fillId="11" borderId="16" xfId="0" applyFont="1" applyFill="1" applyBorder="1" applyAlignment="1">
      <alignment horizontal="center" vertical="center"/>
    </xf>
    <xf numFmtId="0" fontId="15" fillId="11" borderId="16" xfId="0" applyFont="1" applyFill="1" applyBorder="1" applyAlignment="1">
      <alignment horizontal="center" vertical="center" wrapText="1"/>
    </xf>
    <xf numFmtId="165" fontId="15" fillId="11" borderId="16" xfId="3" applyFont="1" applyFill="1" applyBorder="1" applyAlignment="1">
      <alignment horizontal="center" vertical="center"/>
    </xf>
    <xf numFmtId="165" fontId="15" fillId="11" borderId="17" xfId="3" applyFont="1" applyFill="1" applyBorder="1" applyAlignment="1">
      <alignment horizontal="center" vertical="center"/>
    </xf>
    <xf numFmtId="165" fontId="5" fillId="11" borderId="4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3" fillId="0" borderId="62" xfId="3" applyFont="1" applyBorder="1" applyAlignment="1">
      <alignment vertical="center"/>
    </xf>
    <xf numFmtId="165" fontId="5" fillId="11" borderId="7" xfId="3" applyFont="1" applyFill="1" applyBorder="1" applyAlignment="1">
      <alignment horizontal="center" vertical="center"/>
    </xf>
    <xf numFmtId="165" fontId="15" fillId="11" borderId="33" xfId="3" applyFont="1" applyFill="1" applyBorder="1" applyAlignment="1">
      <alignment horizontal="center" vertical="center"/>
    </xf>
    <xf numFmtId="165" fontId="15" fillId="11" borderId="4" xfId="3" applyFont="1" applyFill="1" applyBorder="1" applyAlignment="1">
      <alignment horizontal="center" vertical="center"/>
    </xf>
    <xf numFmtId="165" fontId="5" fillId="11" borderId="4" xfId="3" applyNumberFormat="1" applyFont="1" applyFill="1" applyBorder="1" applyAlignment="1">
      <alignment horizontal="center" vertical="center"/>
    </xf>
    <xf numFmtId="165" fontId="5" fillId="11" borderId="4" xfId="3" applyFont="1" applyFill="1" applyBorder="1" applyAlignment="1">
      <alignment vertical="center"/>
    </xf>
    <xf numFmtId="0" fontId="33" fillId="0" borderId="36" xfId="0" applyFont="1" applyFill="1" applyBorder="1" applyAlignment="1">
      <alignment vertical="center"/>
    </xf>
    <xf numFmtId="165" fontId="3" fillId="10" borderId="1" xfId="3" applyFont="1" applyFill="1" applyBorder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  <xf numFmtId="167" fontId="3" fillId="0" borderId="2" xfId="3" applyNumberFormat="1" applyFont="1" applyBorder="1" applyAlignment="1">
      <alignment horizontal="center" vertical="center"/>
    </xf>
    <xf numFmtId="167" fontId="8" fillId="0" borderId="0" xfId="3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65" fontId="3" fillId="0" borderId="0" xfId="3" applyFont="1" applyBorder="1" applyAlignment="1">
      <alignment horizontal="right" vertical="center"/>
    </xf>
    <xf numFmtId="0" fontId="31" fillId="10" borderId="6" xfId="4" applyFont="1" applyFill="1" applyBorder="1" applyAlignment="1">
      <alignment vertical="center"/>
    </xf>
    <xf numFmtId="0" fontId="5" fillId="10" borderId="38" xfId="4" applyFont="1" applyFill="1" applyBorder="1" applyAlignment="1">
      <alignment horizontal="right"/>
    </xf>
    <xf numFmtId="0" fontId="31" fillId="10" borderId="7" xfId="4" applyFont="1" applyFill="1" applyBorder="1" applyAlignment="1">
      <alignment vertical="center"/>
    </xf>
    <xf numFmtId="0" fontId="27" fillId="0" borderId="22" xfId="0" applyFont="1" applyFill="1" applyBorder="1" applyAlignment="1">
      <alignment vertical="center"/>
    </xf>
    <xf numFmtId="165" fontId="24" fillId="10" borderId="1" xfId="3" applyFont="1" applyFill="1" applyBorder="1" applyAlignment="1">
      <alignment horizontal="center"/>
    </xf>
    <xf numFmtId="0" fontId="24" fillId="10" borderId="1" xfId="10" applyFont="1" applyFill="1" applyBorder="1" applyAlignment="1">
      <alignment horizontal="center"/>
    </xf>
    <xf numFmtId="9" fontId="24" fillId="10" borderId="1" xfId="2" applyFont="1" applyFill="1" applyBorder="1" applyAlignment="1">
      <alignment horizontal="center"/>
    </xf>
    <xf numFmtId="0" fontId="5" fillId="0" borderId="63" xfId="4" applyFont="1" applyBorder="1"/>
    <xf numFmtId="166" fontId="5" fillId="0" borderId="64" xfId="5" applyNumberFormat="1" applyFont="1" applyBorder="1"/>
    <xf numFmtId="0" fontId="23" fillId="0" borderId="1" xfId="0" applyFont="1" applyFill="1" applyBorder="1" applyAlignment="1">
      <alignment horizontal="center" vertical="center"/>
    </xf>
    <xf numFmtId="2" fontId="19" fillId="0" borderId="54" xfId="0" applyNumberFormat="1" applyFont="1" applyFill="1" applyBorder="1" applyAlignment="1">
      <alignment horizontal="center" vertical="center"/>
    </xf>
    <xf numFmtId="2" fontId="19" fillId="0" borderId="50" xfId="0" applyNumberFormat="1" applyFont="1" applyFill="1" applyBorder="1" applyAlignment="1">
      <alignment horizontal="center" vertical="center"/>
    </xf>
    <xf numFmtId="2" fontId="23" fillId="0" borderId="50" xfId="0" applyNumberFormat="1" applyFont="1" applyFill="1" applyBorder="1" applyAlignment="1">
      <alignment horizontal="center" vertical="center"/>
    </xf>
    <xf numFmtId="2" fontId="19" fillId="0" borderId="52" xfId="0" applyNumberFormat="1" applyFont="1" applyFill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165" fontId="8" fillId="0" borderId="1" xfId="3" applyNumberFormat="1" applyFont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6" fillId="8" borderId="6" xfId="0" applyFont="1" applyFill="1" applyBorder="1" applyAlignment="1">
      <alignment vertical="center"/>
    </xf>
    <xf numFmtId="0" fontId="6" fillId="8" borderId="7" xfId="0" applyFont="1" applyFill="1" applyBorder="1" applyAlignment="1">
      <alignment vertical="center"/>
    </xf>
    <xf numFmtId="10" fontId="7" fillId="10" borderId="11" xfId="0" applyNumberFormat="1" applyFont="1" applyFill="1" applyBorder="1" applyAlignment="1">
      <alignment horizontal="center" vertical="center"/>
    </xf>
    <xf numFmtId="10" fontId="7" fillId="10" borderId="19" xfId="0" applyNumberFormat="1" applyFont="1" applyFill="1" applyBorder="1" applyAlignment="1">
      <alignment horizontal="center" vertical="center"/>
    </xf>
    <xf numFmtId="10" fontId="7" fillId="10" borderId="35" xfId="0" applyNumberFormat="1" applyFont="1" applyFill="1" applyBorder="1" applyAlignment="1">
      <alignment horizontal="center" vertical="center"/>
    </xf>
    <xf numFmtId="10" fontId="5" fillId="0" borderId="30" xfId="2" applyNumberFormat="1" applyFont="1" applyBorder="1" applyAlignment="1">
      <alignment vertical="center"/>
    </xf>
    <xf numFmtId="10" fontId="5" fillId="0" borderId="17" xfId="2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9" fillId="0" borderId="5" xfId="4" applyFont="1" applyBorder="1" applyAlignment="1">
      <alignment horizontal="center" vertical="center" wrapText="1"/>
    </xf>
    <xf numFmtId="0" fontId="29" fillId="0" borderId="6" xfId="4" applyFont="1" applyBorder="1" applyAlignment="1">
      <alignment horizontal="center" vertical="center" wrapText="1"/>
    </xf>
    <xf numFmtId="0" fontId="29" fillId="0" borderId="7" xfId="4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17" fillId="11" borderId="25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165" fontId="6" fillId="11" borderId="5" xfId="3" applyFont="1" applyFill="1" applyBorder="1" applyAlignment="1">
      <alignment horizontal="center" vertical="center"/>
    </xf>
    <xf numFmtId="165" fontId="6" fillId="11" borderId="6" xfId="3" applyFont="1" applyFill="1" applyBorder="1" applyAlignment="1">
      <alignment horizontal="center" vertical="center"/>
    </xf>
    <xf numFmtId="165" fontId="6" fillId="11" borderId="7" xfId="3" applyFont="1" applyFill="1" applyBorder="1" applyAlignment="1">
      <alignment horizontal="center" vertical="center"/>
    </xf>
    <xf numFmtId="165" fontId="5" fillId="0" borderId="5" xfId="3" applyFont="1" applyFill="1" applyBorder="1" applyAlignment="1">
      <alignment horizontal="center" vertical="center" wrapText="1"/>
    </xf>
    <xf numFmtId="165" fontId="5" fillId="0" borderId="7" xfId="3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/>
    </xf>
    <xf numFmtId="0" fontId="17" fillId="6" borderId="20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/>
    </xf>
    <xf numFmtId="0" fontId="17" fillId="8" borderId="39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4" fontId="28" fillId="0" borderId="5" xfId="0" applyNumberFormat="1" applyFont="1" applyBorder="1" applyAlignment="1">
      <alignment horizontal="center" vertical="center"/>
    </xf>
    <xf numFmtId="4" fontId="28" fillId="0" borderId="6" xfId="0" applyNumberFormat="1" applyFont="1" applyBorder="1" applyAlignment="1">
      <alignment horizontal="center" vertical="center"/>
    </xf>
    <xf numFmtId="4" fontId="28" fillId="0" borderId="7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11">
    <cellStyle name="Hyperlink" xfId="1" builtinId="8"/>
    <cellStyle name="Normal" xfId="0" builtinId="0"/>
    <cellStyle name="Normal 2" xfId="7"/>
    <cellStyle name="Normal 3" xfId="4"/>
    <cellStyle name="Normal 4" xfId="10"/>
    <cellStyle name="Porcentagem" xfId="2" builtinId="5"/>
    <cellStyle name="Porcentagem 2" xfId="8"/>
    <cellStyle name="Porcentagem 3" xfId="9"/>
    <cellStyle name="Separador de milhares" xfId="3" builtinId="3"/>
    <cellStyle name="Separador de milhares 3" xfId="5"/>
    <cellStyle name="Vírgula 2" xfId="6"/>
  </cellStyles>
  <dxfs count="0"/>
  <tableStyles count="0" defaultTableStyle="TableStyleMedium2" defaultPivotStyle="PivotStyleLight16"/>
  <colors>
    <mruColors>
      <color rgb="FFFFFF99"/>
      <color rgb="FF00FF00"/>
      <color rgb="FF66FFFF"/>
      <color rgb="FFFF66FF"/>
      <color rgb="FFC0C0C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980209</xdr:colOff>
      <xdr:row>1</xdr:row>
      <xdr:rowOff>9525</xdr:rowOff>
    </xdr:from>
    <xdr:to>
      <xdr:col>0</xdr:col>
      <xdr:colOff>2999509</xdr:colOff>
      <xdr:row>1</xdr:row>
      <xdr:rowOff>276225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80209" y="303934"/>
          <a:ext cx="2019300" cy="2667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:a16="http://schemas.microsoft.com/office/drawing/2014/main" xmlns="" id="{00000000-0008-0000-07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:a16="http://schemas.microsoft.com/office/drawing/2014/main" xmlns="" id="{00000000-0008-0000-07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9"/>
  <sheetViews>
    <sheetView tabSelected="1" zoomScale="110" zoomScaleNormal="110" zoomScaleSheetLayoutView="100" workbookViewId="0">
      <selection activeCell="A5" sqref="A5:F5"/>
    </sheetView>
  </sheetViews>
  <sheetFormatPr defaultRowHeight="12.75"/>
  <cols>
    <col min="1" max="1" width="45" style="5" customWidth="1"/>
    <col min="2" max="2" width="15.5703125" style="5" customWidth="1"/>
    <col min="3" max="3" width="14.5703125" style="5" customWidth="1"/>
    <col min="4" max="4" width="14.7109375" style="6" customWidth="1"/>
    <col min="5" max="5" width="15.42578125" style="6" customWidth="1"/>
    <col min="6" max="6" width="13.28515625" style="6" customWidth="1"/>
    <col min="7" max="16384" width="9.140625" style="5"/>
  </cols>
  <sheetData>
    <row r="1" spans="1:6" s="181" customFormat="1" ht="23.25" customHeight="1" thickBot="1">
      <c r="A1" s="361" t="s">
        <v>219</v>
      </c>
      <c r="B1" s="362"/>
      <c r="C1" s="362"/>
      <c r="D1" s="362"/>
      <c r="E1" s="362"/>
      <c r="F1" s="363"/>
    </row>
    <row r="2" spans="1:6" s="181" customFormat="1" ht="23.25" customHeight="1" thickBot="1">
      <c r="A2" s="280" t="s">
        <v>216</v>
      </c>
      <c r="B2" s="281" t="s">
        <v>217</v>
      </c>
      <c r="C2" s="332"/>
      <c r="D2" s="333"/>
      <c r="E2" s="281" t="s">
        <v>218</v>
      </c>
      <c r="F2" s="334"/>
    </row>
    <row r="3" spans="1:6" s="4" customFormat="1" ht="18">
      <c r="A3" s="366" t="s">
        <v>280</v>
      </c>
      <c r="B3" s="367"/>
      <c r="C3" s="367"/>
      <c r="D3" s="367"/>
      <c r="E3" s="367"/>
      <c r="F3" s="368"/>
    </row>
    <row r="4" spans="1:6" s="2" customFormat="1" ht="10.9" customHeight="1" thickBot="1">
      <c r="A4" s="72"/>
      <c r="B4" s="73"/>
      <c r="C4" s="73"/>
      <c r="D4" s="74"/>
      <c r="E4" s="74"/>
      <c r="F4" s="75"/>
    </row>
    <row r="5" spans="1:6" s="2" customFormat="1" ht="15.75" customHeight="1" thickBot="1">
      <c r="A5" s="369" t="s">
        <v>159</v>
      </c>
      <c r="B5" s="370"/>
      <c r="C5" s="370"/>
      <c r="D5" s="370"/>
      <c r="E5" s="370"/>
      <c r="F5" s="371"/>
    </row>
    <row r="6" spans="1:6" s="2" customFormat="1" ht="15.75" customHeight="1" thickBot="1">
      <c r="A6" s="254" t="s">
        <v>314</v>
      </c>
      <c r="B6" s="255"/>
      <c r="C6" s="372" t="s">
        <v>315</v>
      </c>
      <c r="D6" s="373"/>
      <c r="E6" s="372" t="s">
        <v>316</v>
      </c>
      <c r="F6" s="373"/>
    </row>
    <row r="7" spans="1:6" s="2" customFormat="1" ht="25.5">
      <c r="A7" s="37" t="s">
        <v>158</v>
      </c>
      <c r="B7" s="23"/>
      <c r="C7" s="265" t="s">
        <v>317</v>
      </c>
      <c r="D7" s="24" t="s">
        <v>318</v>
      </c>
      <c r="E7" s="260" t="s">
        <v>317</v>
      </c>
      <c r="F7" s="24" t="s">
        <v>318</v>
      </c>
    </row>
    <row r="8" spans="1:6" s="7" customFormat="1" ht="15.75" customHeight="1">
      <c r="A8" s="58" t="str">
        <f>A53</f>
        <v>1. Mão-de-obra</v>
      </c>
      <c r="B8" s="59"/>
      <c r="C8" s="266">
        <f>+F129</f>
        <v>39373.514478391306</v>
      </c>
      <c r="D8" s="61">
        <f>SUM(D9:D15)</f>
        <v>0.35334528229549095</v>
      </c>
      <c r="E8" s="261">
        <f>C8</f>
        <v>39373.514478391306</v>
      </c>
      <c r="F8" s="61">
        <f t="shared" ref="F8:F33" si="0">IFERROR(E8/$E$36,0)</f>
        <v>0.37564141807819679</v>
      </c>
    </row>
    <row r="9" spans="1:6" s="2" customFormat="1" ht="15.75" customHeight="1">
      <c r="A9" s="188" t="str">
        <f>A54</f>
        <v>1.1. Supervisor</v>
      </c>
      <c r="B9" s="27"/>
      <c r="C9" s="267">
        <f>F65</f>
        <v>6028.1081000000004</v>
      </c>
      <c r="D9" s="35">
        <f t="shared" ref="D9:D16" si="1">IFERROR(C9/$C$36,0)</f>
        <v>5.4097369425104513E-2</v>
      </c>
      <c r="E9" s="262">
        <f t="shared" ref="E9:E33" si="2">C9</f>
        <v>6028.1081000000004</v>
      </c>
      <c r="F9" s="35">
        <f t="shared" si="0"/>
        <v>5.7510920856592589E-2</v>
      </c>
    </row>
    <row r="10" spans="1:6" s="2" customFormat="1" ht="15.75" customHeight="1">
      <c r="A10" s="188" t="str">
        <f>A67</f>
        <v>1.2. Motoristas caminhão Compactador</v>
      </c>
      <c r="B10" s="27"/>
      <c r="C10" s="267">
        <f>F80</f>
        <v>14092.455983342847</v>
      </c>
      <c r="D10" s="35">
        <f t="shared" si="1"/>
        <v>0.12646833546961814</v>
      </c>
      <c r="E10" s="262">
        <f t="shared" si="2"/>
        <v>14092.455983342847</v>
      </c>
      <c r="F10" s="35">
        <f t="shared" si="0"/>
        <v>0.13444850478594519</v>
      </c>
    </row>
    <row r="11" spans="1:6" s="2" customFormat="1" ht="15.75" customHeight="1">
      <c r="A11" s="30" t="str">
        <f>A82</f>
        <v>1.3. Coletores</v>
      </c>
      <c r="B11" s="27"/>
      <c r="C11" s="267">
        <f>F95</f>
        <v>15450.438595048458</v>
      </c>
      <c r="D11" s="35">
        <f t="shared" si="1"/>
        <v>0.13865512538771974</v>
      </c>
      <c r="E11" s="262">
        <f t="shared" si="2"/>
        <v>15450.438595048458</v>
      </c>
      <c r="F11" s="35">
        <f t="shared" si="0"/>
        <v>0.14740428281959234</v>
      </c>
    </row>
    <row r="12" spans="1:6" s="2" customFormat="1" ht="15.75" customHeight="1">
      <c r="A12" s="30" t="str">
        <f>A97</f>
        <v>1.4. Vale Transporte</v>
      </c>
      <c r="B12" s="27"/>
      <c r="C12" s="267">
        <f>F104</f>
        <v>888.78480000000013</v>
      </c>
      <c r="D12" s="35">
        <f t="shared" si="1"/>
        <v>7.9761210096775861E-3</v>
      </c>
      <c r="E12" s="262">
        <f t="shared" si="2"/>
        <v>888.78480000000013</v>
      </c>
      <c r="F12" s="35">
        <f t="shared" si="0"/>
        <v>8.4794153395063489E-3</v>
      </c>
    </row>
    <row r="13" spans="1:6" s="2" customFormat="1" ht="15.75" customHeight="1">
      <c r="A13" s="30" t="str">
        <f>A106</f>
        <v>1.5. Vale-refeição (diário)</v>
      </c>
      <c r="B13" s="27"/>
      <c r="C13" s="267">
        <f>F114</f>
        <v>2570.5349999999999</v>
      </c>
      <c r="D13" s="35">
        <f t="shared" si="1"/>
        <v>2.3068461813941427E-2</v>
      </c>
      <c r="E13" s="262">
        <f t="shared" si="2"/>
        <v>2570.5349999999999</v>
      </c>
      <c r="F13" s="35">
        <f t="shared" si="0"/>
        <v>2.4524084918799184E-2</v>
      </c>
    </row>
    <row r="14" spans="1:6" s="2" customFormat="1" ht="15.75" customHeight="1">
      <c r="A14" s="30" t="str">
        <f>A116</f>
        <v>1.6. Auxílio Alimentação (mensal)</v>
      </c>
      <c r="B14" s="27"/>
      <c r="C14" s="267">
        <f>F120</f>
        <v>218.23200000000003</v>
      </c>
      <c r="D14" s="35">
        <f t="shared" si="1"/>
        <v>1.9584547802617221E-3</v>
      </c>
      <c r="E14" s="262">
        <f t="shared" si="2"/>
        <v>218.23200000000003</v>
      </c>
      <c r="F14" s="35">
        <f t="shared" si="0"/>
        <v>2.0820335455457267E-3</v>
      </c>
    </row>
    <row r="15" spans="1:6" s="2" customFormat="1" ht="15.75" customHeight="1">
      <c r="A15" s="30" t="str">
        <f>A122</f>
        <v>1.7. Plano de Benefício Social Familiar (mensal)</v>
      </c>
      <c r="B15" s="27"/>
      <c r="C15" s="267">
        <f>F127</f>
        <v>124.96</v>
      </c>
      <c r="D15" s="35">
        <f t="shared" si="1"/>
        <v>1.1214144091677882E-3</v>
      </c>
      <c r="E15" s="262">
        <f t="shared" si="2"/>
        <v>124.96</v>
      </c>
      <c r="F15" s="35">
        <f t="shared" si="0"/>
        <v>1.1921758122154127E-3</v>
      </c>
    </row>
    <row r="16" spans="1:6" s="7" customFormat="1" ht="15.75" customHeight="1">
      <c r="A16" s="58" t="str">
        <f>A131</f>
        <v>2. Uniformes e Equipamentos de Proteção Individual</v>
      </c>
      <c r="B16" s="60"/>
      <c r="C16" s="266">
        <f>+F161</f>
        <v>4073.6383333333329</v>
      </c>
      <c r="D16" s="61">
        <f t="shared" si="1"/>
        <v>3.6557592227418799E-2</v>
      </c>
      <c r="E16" s="261">
        <f t="shared" si="2"/>
        <v>4073.6383333333329</v>
      </c>
      <c r="F16" s="61">
        <f t="shared" si="0"/>
        <v>3.8864381311727807E-2</v>
      </c>
    </row>
    <row r="17" spans="1:6" s="7" customFormat="1" ht="15.75" customHeight="1">
      <c r="A17" s="189" t="str">
        <f>A163</f>
        <v>3. Veículos e Equipamentos</v>
      </c>
      <c r="B17" s="65"/>
      <c r="C17" s="266">
        <f>+F294</f>
        <v>40787.071931894759</v>
      </c>
      <c r="D17" s="61">
        <f>D18+D25</f>
        <v>0.36603081123711473</v>
      </c>
      <c r="E17" s="261">
        <f t="shared" si="2"/>
        <v>40787.071931894759</v>
      </c>
      <c r="F17" s="61">
        <f t="shared" si="0"/>
        <v>0.38912740563616438</v>
      </c>
    </row>
    <row r="18" spans="1:6" s="2" customFormat="1" ht="15.75" customHeight="1">
      <c r="A18" s="189" t="str">
        <f>A164</f>
        <v>3.1. Veículo Coletor Compactador 15 m³</v>
      </c>
      <c r="B18" s="28"/>
      <c r="C18" s="266">
        <f>SUM(C19:C24)</f>
        <v>39331.834352728103</v>
      </c>
      <c r="D18" s="61">
        <f>SUM(D19:D24)</f>
        <v>0.35297123705305622</v>
      </c>
      <c r="E18" s="261">
        <f t="shared" si="2"/>
        <v>39331.834352728103</v>
      </c>
      <c r="F18" s="61">
        <f t="shared" si="0"/>
        <v>0.37524377052965513</v>
      </c>
    </row>
    <row r="19" spans="1:6" s="2" customFormat="1" ht="15.75" customHeight="1">
      <c r="A19" s="38" t="str">
        <f>A165</f>
        <v>3.1.1. Depreciação</v>
      </c>
      <c r="B19" s="28"/>
      <c r="C19" s="267">
        <f>F179</f>
        <v>4992</v>
      </c>
      <c r="D19" s="68">
        <f t="shared" ref="D19:D24" si="3">IFERROR(C19/$C$36,0)</f>
        <v>4.4799141569827138E-2</v>
      </c>
      <c r="E19" s="262">
        <f t="shared" si="2"/>
        <v>4992</v>
      </c>
      <c r="F19" s="68">
        <f t="shared" si="0"/>
        <v>4.7625973548170143E-2</v>
      </c>
    </row>
    <row r="20" spans="1:6" s="2" customFormat="1" ht="15.75" customHeight="1">
      <c r="A20" s="38" t="str">
        <f>A180</f>
        <v>3.1.2. Remuneração do Capital</v>
      </c>
      <c r="B20" s="28"/>
      <c r="C20" s="267">
        <f>F194</f>
        <v>2309.2799999999997</v>
      </c>
      <c r="D20" s="68">
        <f t="shared" si="3"/>
        <v>2.072391058581138E-2</v>
      </c>
      <c r="E20" s="262">
        <f t="shared" si="2"/>
        <v>2309.2799999999997</v>
      </c>
      <c r="F20" s="68">
        <f t="shared" si="0"/>
        <v>2.2031592186562168E-2</v>
      </c>
    </row>
    <row r="21" spans="1:6" s="2" customFormat="1" ht="15.75" customHeight="1">
      <c r="A21" s="38" t="str">
        <f>A195</f>
        <v>3.1.3. Impostos e Seguros</v>
      </c>
      <c r="B21" s="28"/>
      <c r="C21" s="267">
        <f>F201</f>
        <v>773.7833333333333</v>
      </c>
      <c r="D21" s="68">
        <f t="shared" si="3"/>
        <v>6.9440763410201804E-3</v>
      </c>
      <c r="E21" s="262">
        <f t="shared" si="2"/>
        <v>773.7833333333333</v>
      </c>
      <c r="F21" s="68">
        <f t="shared" si="0"/>
        <v>7.3822485106867491E-3</v>
      </c>
    </row>
    <row r="22" spans="1:6" s="2" customFormat="1" ht="15.75" customHeight="1">
      <c r="A22" s="38" t="str">
        <f>A203</f>
        <v>3.1.4. Consumos</v>
      </c>
      <c r="B22" s="28"/>
      <c r="C22" s="267">
        <f>F219</f>
        <v>17452.371275394769</v>
      </c>
      <c r="D22" s="68">
        <f t="shared" si="3"/>
        <v>0.15662084364895731</v>
      </c>
      <c r="E22" s="262">
        <f t="shared" si="2"/>
        <v>17452.371275394769</v>
      </c>
      <c r="F22" s="68">
        <f t="shared" si="0"/>
        <v>0.16650364036754722</v>
      </c>
    </row>
    <row r="23" spans="1:6" s="2" customFormat="1" ht="15.75" customHeight="1">
      <c r="A23" s="38" t="str">
        <f>A221</f>
        <v>3.1.5. Manutenção</v>
      </c>
      <c r="B23" s="28"/>
      <c r="C23" s="267">
        <f>F226</f>
        <v>11392</v>
      </c>
      <c r="D23" s="68">
        <f t="shared" si="3"/>
        <v>0.10223393845422091</v>
      </c>
      <c r="E23" s="262">
        <f t="shared" si="2"/>
        <v>11392</v>
      </c>
      <c r="F23" s="68">
        <f t="shared" si="0"/>
        <v>0.10868491399454212</v>
      </c>
    </row>
    <row r="24" spans="1:6" s="2" customFormat="1" ht="15.75" customHeight="1">
      <c r="A24" s="38" t="str">
        <f>A228</f>
        <v>3.1.6. Pneus</v>
      </c>
      <c r="B24" s="28"/>
      <c r="C24" s="267">
        <f>F235</f>
        <v>2412.3997439999998</v>
      </c>
      <c r="D24" s="68">
        <f t="shared" si="3"/>
        <v>2.1649326453219299E-2</v>
      </c>
      <c r="E24" s="262">
        <f t="shared" si="2"/>
        <v>2412.3997439999998</v>
      </c>
      <c r="F24" s="68">
        <f t="shared" si="0"/>
        <v>2.3015401922146718E-2</v>
      </c>
    </row>
    <row r="25" spans="1:6" s="2" customFormat="1" ht="15.75" customHeight="1">
      <c r="A25" s="189" t="str">
        <f>A237</f>
        <v>3.2. Veículo utilitário Pick- up a gasolina (Supervisor e Apoio)</v>
      </c>
      <c r="B25" s="28"/>
      <c r="C25" s="266">
        <f>SUM(C26:C31)</f>
        <v>1455.2375791666668</v>
      </c>
      <c r="D25" s="61">
        <f>SUM(D26:D31)</f>
        <v>1.30595741840585E-2</v>
      </c>
      <c r="E25" s="261">
        <f t="shared" si="2"/>
        <v>1455.2375791666668</v>
      </c>
      <c r="F25" s="61">
        <f t="shared" si="0"/>
        <v>1.3883635106509381E-2</v>
      </c>
    </row>
    <row r="26" spans="1:6" s="2" customFormat="1" ht="15.75" customHeight="1">
      <c r="A26" s="38" t="str">
        <f>A238</f>
        <v>3.2.1. Depreciação</v>
      </c>
      <c r="B26" s="28"/>
      <c r="C26" s="267">
        <f>F247</f>
        <v>428.01916666666671</v>
      </c>
      <c r="D26" s="68">
        <f t="shared" ref="D26:D34" si="4">IFERROR(C26/$C$36,0)</f>
        <v>3.8411240468949198E-3</v>
      </c>
      <c r="E26" s="262">
        <f t="shared" si="2"/>
        <v>428.01916666666671</v>
      </c>
      <c r="F26" s="68">
        <f t="shared" si="0"/>
        <v>4.0834995011571505E-3</v>
      </c>
    </row>
    <row r="27" spans="1:6" s="2" customFormat="1" ht="15.75" customHeight="1">
      <c r="A27" s="38" t="str">
        <f>A249</f>
        <v>3.2.2. Remuneração do Capital</v>
      </c>
      <c r="B27" s="28"/>
      <c r="C27" s="267">
        <f>F258</f>
        <v>128.98941250000001</v>
      </c>
      <c r="D27" s="68">
        <f t="shared" si="4"/>
        <v>1.1575751104960599E-3</v>
      </c>
      <c r="E27" s="262">
        <f t="shared" si="2"/>
        <v>128.98941250000001</v>
      </c>
      <c r="F27" s="68">
        <f t="shared" si="0"/>
        <v>1.2306182587578142E-3</v>
      </c>
    </row>
    <row r="28" spans="1:6" s="2" customFormat="1" ht="15.75" customHeight="1">
      <c r="A28" s="38" t="str">
        <f>A260</f>
        <v>3.2.3. Impostos e Seguros</v>
      </c>
      <c r="B28" s="28"/>
      <c r="C28" s="267">
        <f>F266</f>
        <v>259.72499999999997</v>
      </c>
      <c r="D28" s="68">
        <f t="shared" si="4"/>
        <v>2.3308207219998704E-3</v>
      </c>
      <c r="E28" s="262">
        <f t="shared" si="2"/>
        <v>259.72499999999997</v>
      </c>
      <c r="F28" s="68">
        <f t="shared" si="0"/>
        <v>2.477895829286556E-3</v>
      </c>
    </row>
    <row r="29" spans="1:6" s="2" customFormat="1" ht="15.75" customHeight="1">
      <c r="A29" s="38" t="str">
        <f>A268</f>
        <v>3.2.4. Consumos</v>
      </c>
      <c r="B29" s="28"/>
      <c r="C29" s="267">
        <f>F278</f>
        <v>302.80400000000003</v>
      </c>
      <c r="D29" s="68">
        <f t="shared" si="4"/>
        <v>2.7174197243409332E-3</v>
      </c>
      <c r="E29" s="262">
        <f t="shared" si="2"/>
        <v>302.80400000000003</v>
      </c>
      <c r="F29" s="68">
        <f t="shared" si="0"/>
        <v>2.8888892817067534E-3</v>
      </c>
    </row>
    <row r="30" spans="1:6" s="2" customFormat="1" ht="15.75" customHeight="1">
      <c r="A30" s="38" t="str">
        <f>A280</f>
        <v>3.2.5. Manutenção</v>
      </c>
      <c r="B30" s="28"/>
      <c r="C30" s="267">
        <f>F284</f>
        <v>315</v>
      </c>
      <c r="D30" s="68">
        <f t="shared" si="4"/>
        <v>2.8268689091537559E-3</v>
      </c>
      <c r="E30" s="262">
        <f t="shared" si="2"/>
        <v>315</v>
      </c>
      <c r="F30" s="68">
        <f t="shared" si="0"/>
        <v>3.0052447250948707E-3</v>
      </c>
    </row>
    <row r="31" spans="1:6" s="2" customFormat="1" ht="15.75" customHeight="1">
      <c r="A31" s="38" t="str">
        <f>A286</f>
        <v>3.2.6. Pneus</v>
      </c>
      <c r="B31" s="28"/>
      <c r="C31" s="267">
        <f>F291</f>
        <v>20.7</v>
      </c>
      <c r="D31" s="68">
        <f t="shared" si="4"/>
        <v>1.857656711729611E-4</v>
      </c>
      <c r="E31" s="262">
        <f t="shared" si="2"/>
        <v>20.7</v>
      </c>
      <c r="F31" s="68">
        <f t="shared" si="0"/>
        <v>1.9748751050623436E-4</v>
      </c>
    </row>
    <row r="32" spans="1:6" s="7" customFormat="1" ht="15.75" customHeight="1">
      <c r="A32" s="189" t="str">
        <f>A296</f>
        <v>4. Ferramentas e Materiais de Consumo</v>
      </c>
      <c r="B32" s="65"/>
      <c r="C32" s="266">
        <f>+F307</f>
        <v>40.661666666666669</v>
      </c>
      <c r="D32" s="61">
        <f t="shared" si="4"/>
        <v>3.6490540093451947E-4</v>
      </c>
      <c r="E32" s="261">
        <f t="shared" si="2"/>
        <v>40.661666666666669</v>
      </c>
      <c r="F32" s="61">
        <f t="shared" si="0"/>
        <v>3.8793098178909824E-4</v>
      </c>
    </row>
    <row r="33" spans="1:6" s="7" customFormat="1" ht="15.75" customHeight="1">
      <c r="A33" s="189" t="str">
        <f>A309</f>
        <v>5. Monitoramento da Frota</v>
      </c>
      <c r="B33" s="65"/>
      <c r="C33" s="266">
        <f>+F326</f>
        <v>302.5</v>
      </c>
      <c r="D33" s="61">
        <f t="shared" si="4"/>
        <v>2.7146915714889243E-3</v>
      </c>
      <c r="E33" s="261">
        <f t="shared" si="2"/>
        <v>302.5</v>
      </c>
      <c r="F33" s="61">
        <f t="shared" si="0"/>
        <v>2.8859889820355505E-3</v>
      </c>
    </row>
    <row r="34" spans="1:6" s="7" customFormat="1" ht="15.75" customHeight="1">
      <c r="A34" s="189" t="str">
        <f>A332</f>
        <v>6. Benefícios e Despesas Indiretas - BDI - LUCRO REAL</v>
      </c>
      <c r="B34" s="65"/>
      <c r="C34" s="268">
        <f>+F337</f>
        <v>26853.320185265824</v>
      </c>
      <c r="D34" s="61">
        <f t="shared" si="4"/>
        <v>0.24098671726755216</v>
      </c>
      <c r="E34" s="263"/>
      <c r="F34" s="259"/>
    </row>
    <row r="35" spans="1:6" s="7" customFormat="1" ht="15.75" customHeight="1" thickBot="1">
      <c r="A35" s="256" t="str">
        <f>A342</f>
        <v>7. Benefícios e Despesas Indiretas - BDI - LUCRO PRESUMIDO</v>
      </c>
      <c r="B35" s="257"/>
      <c r="C35" s="269"/>
      <c r="D35" s="270"/>
      <c r="E35" s="264">
        <f>F347</f>
        <v>20239.368567981455</v>
      </c>
      <c r="F35" s="258">
        <f>IFERROR(E35/$E$36,0)</f>
        <v>0.19309287501008635</v>
      </c>
    </row>
    <row r="36" spans="1:6" s="2" customFormat="1" ht="15.75" customHeight="1" thickBot="1">
      <c r="A36" s="25" t="s">
        <v>185</v>
      </c>
      <c r="B36" s="26"/>
      <c r="C36" s="278">
        <f>C8+C16+C17+C32+C33+C34</f>
        <v>111430.70659555189</v>
      </c>
      <c r="D36" s="358">
        <f>D8+D16+D17+D32+D33+D34</f>
        <v>1</v>
      </c>
      <c r="E36" s="279">
        <f>E8+E16+E17+E32+E33+E35</f>
        <v>104816.75497826752</v>
      </c>
      <c r="F36" s="359">
        <f>F8+F16+F17+F32+F33+F35</f>
        <v>1</v>
      </c>
    </row>
    <row r="37" spans="1:6" ht="13.5" thickBot="1">
      <c r="A37" s="195"/>
      <c r="B37" s="34"/>
      <c r="C37" s="34"/>
      <c r="D37" s="36"/>
      <c r="E37" s="36"/>
      <c r="F37" s="64"/>
    </row>
    <row r="38" spans="1:6" s="2" customFormat="1" ht="15" customHeight="1" thickBot="1">
      <c r="A38" s="369" t="s">
        <v>75</v>
      </c>
      <c r="B38" s="370"/>
      <c r="C38" s="370"/>
      <c r="D38" s="370"/>
      <c r="E38" s="371"/>
      <c r="F38" s="64"/>
    </row>
    <row r="39" spans="1:6" s="2" customFormat="1" ht="15" customHeight="1" thickBot="1">
      <c r="A39" s="150" t="s">
        <v>30</v>
      </c>
      <c r="B39" s="15"/>
      <c r="C39" s="15"/>
      <c r="D39" s="29" t="s">
        <v>31</v>
      </c>
      <c r="E39" s="29" t="s">
        <v>31</v>
      </c>
      <c r="F39" s="64"/>
    </row>
    <row r="40" spans="1:6" s="2" customFormat="1" ht="15" customHeight="1">
      <c r="A40" s="44" t="str">
        <f>+A54</f>
        <v>1.1. Supervisor</v>
      </c>
      <c r="B40" s="45"/>
      <c r="C40" s="45"/>
      <c r="D40" s="283">
        <v>1</v>
      </c>
      <c r="E40" s="286">
        <v>2500</v>
      </c>
      <c r="F40" s="64"/>
    </row>
    <row r="41" spans="1:6" s="2" customFormat="1" ht="15" customHeight="1">
      <c r="A41" s="40" t="str">
        <f>+A67</f>
        <v>1.2. Motoristas caminhão Compactador</v>
      </c>
      <c r="B41" s="39"/>
      <c r="C41" s="39"/>
      <c r="D41" s="284">
        <v>3</v>
      </c>
      <c r="E41" s="285">
        <v>1699.28</v>
      </c>
      <c r="F41" s="64"/>
    </row>
    <row r="42" spans="1:6" s="2" customFormat="1" ht="15" customHeight="1">
      <c r="A42" s="40" t="str">
        <f>+A82</f>
        <v>1.3. Coletores</v>
      </c>
      <c r="B42" s="39"/>
      <c r="C42" s="39"/>
      <c r="D42" s="284">
        <v>4</v>
      </c>
      <c r="E42" s="285">
        <v>1397.27</v>
      </c>
      <c r="F42" s="64"/>
    </row>
    <row r="43" spans="1:6" s="2" customFormat="1" ht="15" customHeight="1" thickBot="1">
      <c r="A43" s="42" t="s">
        <v>46</v>
      </c>
      <c r="B43" s="43"/>
      <c r="C43" s="43"/>
      <c r="D43" s="46">
        <f>SUM(D40:D42)</f>
        <v>8</v>
      </c>
      <c r="E43" s="46"/>
      <c r="F43" s="64"/>
    </row>
    <row r="44" spans="1:6" s="2" customFormat="1" ht="15" customHeight="1" thickBot="1">
      <c r="A44" s="62"/>
      <c r="B44" s="63"/>
      <c r="C44" s="36"/>
      <c r="D44" s="36"/>
      <c r="E44" s="64"/>
      <c r="F44" s="64"/>
    </row>
    <row r="45" spans="1:6" s="2" customFormat="1" ht="15" customHeight="1">
      <c r="A45" s="364" t="s">
        <v>45</v>
      </c>
      <c r="B45" s="365"/>
      <c r="C45" s="365"/>
      <c r="D45" s="365"/>
      <c r="E45" s="29" t="s">
        <v>31</v>
      </c>
      <c r="F45" s="196"/>
    </row>
    <row r="46" spans="1:6" s="2" customFormat="1" ht="15" customHeight="1">
      <c r="A46" s="40" t="str">
        <f>+A164</f>
        <v>3.1. Veículo Coletor Compactador 15 m³</v>
      </c>
      <c r="B46" s="39"/>
      <c r="C46" s="39"/>
      <c r="D46" s="149"/>
      <c r="E46" s="290">
        <v>2</v>
      </c>
      <c r="F46" s="196"/>
    </row>
    <row r="47" spans="1:6" s="2" customFormat="1" ht="15" customHeight="1">
      <c r="A47" s="40" t="str">
        <f>A237</f>
        <v>3.2. Veículo utilitário Pick- up a gasolina (Supervisor e Apoio)</v>
      </c>
      <c r="B47" s="39"/>
      <c r="C47" s="39"/>
      <c r="D47" s="149"/>
      <c r="E47" s="290">
        <v>1</v>
      </c>
      <c r="F47" s="196"/>
    </row>
    <row r="48" spans="1:6" s="2" customFormat="1" ht="15" customHeight="1" thickBot="1">
      <c r="A48" s="184"/>
      <c r="B48" s="185"/>
      <c r="C48" s="185"/>
      <c r="D48" s="186"/>
      <c r="E48" s="187"/>
      <c r="F48" s="196"/>
    </row>
    <row r="49" spans="1:6" s="2" customFormat="1" ht="15" customHeight="1" thickBot="1">
      <c r="A49" s="197"/>
      <c r="B49" s="36"/>
      <c r="C49" s="36"/>
      <c r="D49" s="34"/>
      <c r="E49" s="148"/>
      <c r="F49" s="196"/>
    </row>
    <row r="50" spans="1:6" s="7" customFormat="1" ht="15.75" customHeight="1" thickBot="1">
      <c r="A50" s="150" t="s">
        <v>251</v>
      </c>
      <c r="B50" s="287">
        <v>1</v>
      </c>
      <c r="C50" s="150" t="s">
        <v>252</v>
      </c>
      <c r="D50" s="14"/>
      <c r="E50" s="230"/>
      <c r="F50" s="198"/>
    </row>
    <row r="51" spans="1:6" s="2" customFormat="1" ht="15.75" customHeight="1" thickBot="1">
      <c r="A51" s="150" t="s">
        <v>251</v>
      </c>
      <c r="B51" s="287">
        <v>1</v>
      </c>
      <c r="C51" s="150" t="s">
        <v>253</v>
      </c>
      <c r="D51" s="14"/>
      <c r="E51" s="230"/>
      <c r="F51" s="196"/>
    </row>
    <row r="52" spans="1:6" ht="13.15" customHeight="1">
      <c r="A52" s="199"/>
      <c r="B52" s="34"/>
      <c r="C52" s="34"/>
      <c r="D52" s="36"/>
      <c r="E52" s="36"/>
      <c r="F52" s="64"/>
    </row>
    <row r="53" spans="1:6" ht="11.25" customHeight="1">
      <c r="A53" s="199" t="s">
        <v>36</v>
      </c>
      <c r="B53" s="34"/>
      <c r="C53" s="34"/>
      <c r="D53" s="36"/>
      <c r="E53" s="36"/>
      <c r="F53" s="64"/>
    </row>
    <row r="54" spans="1:6" ht="13.9" customHeight="1" thickBot="1">
      <c r="A54" s="200" t="s">
        <v>328</v>
      </c>
      <c r="B54" s="34"/>
      <c r="C54" s="34"/>
      <c r="D54" s="36"/>
      <c r="E54" s="36"/>
      <c r="F54" s="64"/>
    </row>
    <row r="55" spans="1:6" ht="13.9" customHeight="1" thickBot="1">
      <c r="A55" s="311" t="s">
        <v>49</v>
      </c>
      <c r="B55" s="312" t="s">
        <v>50</v>
      </c>
      <c r="C55" s="312" t="s">
        <v>31</v>
      </c>
      <c r="D55" s="314" t="s">
        <v>181</v>
      </c>
      <c r="E55" s="314" t="s">
        <v>51</v>
      </c>
      <c r="F55" s="315" t="s">
        <v>52</v>
      </c>
    </row>
    <row r="56" spans="1:6" ht="13.15" customHeight="1">
      <c r="A56" s="201" t="s">
        <v>355</v>
      </c>
      <c r="B56" s="9" t="s">
        <v>7</v>
      </c>
      <c r="C56" s="9">
        <v>1</v>
      </c>
      <c r="D56" s="10">
        <f>E40</f>
        <v>2500</v>
      </c>
      <c r="E56" s="10">
        <f>C56*D56</f>
        <v>2500</v>
      </c>
      <c r="F56" s="64"/>
    </row>
    <row r="57" spans="1:6">
      <c r="A57" s="202" t="s">
        <v>26</v>
      </c>
      <c r="B57" s="11" t="s">
        <v>0</v>
      </c>
      <c r="C57" s="289"/>
      <c r="D57" s="12">
        <f>D56/220*2</f>
        <v>22.727272727272727</v>
      </c>
      <c r="E57" s="12">
        <f>C57*D57</f>
        <v>0</v>
      </c>
      <c r="F57" s="64"/>
    </row>
    <row r="58" spans="1:6" ht="13.15" customHeight="1">
      <c r="A58" s="202" t="s">
        <v>27</v>
      </c>
      <c r="B58" s="11" t="s">
        <v>0</v>
      </c>
      <c r="C58" s="289"/>
      <c r="D58" s="12">
        <f>D56/220*1.5</f>
        <v>17.045454545454547</v>
      </c>
      <c r="E58" s="12">
        <f>C58*D58</f>
        <v>0</v>
      </c>
      <c r="F58" s="64"/>
    </row>
    <row r="59" spans="1:6" ht="13.15" customHeight="1">
      <c r="A59" s="202" t="s">
        <v>166</v>
      </c>
      <c r="B59" s="11" t="s">
        <v>25</v>
      </c>
      <c r="C59" s="34"/>
      <c r="D59" s="12">
        <f>63/302*(SUM(E57:E58))</f>
        <v>0</v>
      </c>
      <c r="E59" s="12">
        <f>D59</f>
        <v>0</v>
      </c>
      <c r="F59" s="64"/>
    </row>
    <row r="60" spans="1:6">
      <c r="A60" s="202" t="s">
        <v>1</v>
      </c>
      <c r="B60" s="11" t="s">
        <v>2</v>
      </c>
      <c r="C60" s="11">
        <v>40</v>
      </c>
      <c r="D60" s="49">
        <f>SUM(E56:E59)</f>
        <v>2500</v>
      </c>
      <c r="E60" s="12">
        <f>C60*D60/100</f>
        <v>1000</v>
      </c>
      <c r="F60" s="64"/>
    </row>
    <row r="61" spans="1:6">
      <c r="A61" s="203" t="s">
        <v>3</v>
      </c>
      <c r="B61" s="190"/>
      <c r="C61" s="190"/>
      <c r="D61" s="20"/>
      <c r="E61" s="56">
        <f>SUM(E56:E60)</f>
        <v>3500</v>
      </c>
      <c r="F61" s="64"/>
    </row>
    <row r="62" spans="1:6">
      <c r="A62" s="202" t="s">
        <v>4</v>
      </c>
      <c r="B62" s="11" t="s">
        <v>2</v>
      </c>
      <c r="C62" s="66">
        <f>'2.Encargos Sociais'!$C$31*100</f>
        <v>72.231660000000005</v>
      </c>
      <c r="D62" s="12">
        <f>E61</f>
        <v>3500</v>
      </c>
      <c r="E62" s="12">
        <f>D62*C62/100</f>
        <v>2528.1081000000004</v>
      </c>
      <c r="F62" s="64"/>
    </row>
    <row r="63" spans="1:6">
      <c r="A63" s="203" t="s">
        <v>356</v>
      </c>
      <c r="B63" s="190"/>
      <c r="C63" s="190"/>
      <c r="D63" s="20"/>
      <c r="E63" s="56">
        <f>E61+E62</f>
        <v>6028.1081000000004</v>
      </c>
      <c r="F63" s="64"/>
    </row>
    <row r="64" spans="1:6" ht="13.5" thickBot="1">
      <c r="A64" s="202" t="s">
        <v>5</v>
      </c>
      <c r="B64" s="11" t="s">
        <v>6</v>
      </c>
      <c r="C64" s="57">
        <f>D40</f>
        <v>1</v>
      </c>
      <c r="D64" s="12">
        <f>E63</f>
        <v>6028.1081000000004</v>
      </c>
      <c r="E64" s="12">
        <f>C64*D64</f>
        <v>6028.1081000000004</v>
      </c>
      <c r="F64" s="64"/>
    </row>
    <row r="65" spans="1:6" ht="13.9" customHeight="1" thickBot="1">
      <c r="A65" s="204"/>
      <c r="B65" s="34"/>
      <c r="C65" s="34"/>
      <c r="D65" s="191" t="s">
        <v>155</v>
      </c>
      <c r="E65" s="31">
        <f>$B$51</f>
        <v>1</v>
      </c>
      <c r="F65" s="320">
        <f>E64*E65</f>
        <v>6028.1081000000004</v>
      </c>
    </row>
    <row r="66" spans="1:6" ht="11.25" customHeight="1">
      <c r="A66" s="204"/>
      <c r="B66" s="34"/>
      <c r="C66" s="34"/>
      <c r="D66" s="36"/>
      <c r="E66" s="36"/>
      <c r="F66" s="64"/>
    </row>
    <row r="67" spans="1:6" ht="13.5" thickBot="1">
      <c r="A67" s="199" t="s">
        <v>330</v>
      </c>
      <c r="B67" s="34"/>
      <c r="C67" s="34"/>
      <c r="D67" s="36"/>
      <c r="E67" s="36"/>
      <c r="F67" s="64"/>
    </row>
    <row r="68" spans="1:6" ht="13.5" thickBot="1">
      <c r="A68" s="311" t="s">
        <v>49</v>
      </c>
      <c r="B68" s="312" t="s">
        <v>50</v>
      </c>
      <c r="C68" s="312" t="s">
        <v>31</v>
      </c>
      <c r="D68" s="314" t="s">
        <v>181</v>
      </c>
      <c r="E68" s="314" t="s">
        <v>51</v>
      </c>
      <c r="F68" s="315" t="s">
        <v>52</v>
      </c>
    </row>
    <row r="69" spans="1:6">
      <c r="A69" s="205" t="s">
        <v>358</v>
      </c>
      <c r="B69" s="9" t="s">
        <v>7</v>
      </c>
      <c r="C69" s="9">
        <v>1</v>
      </c>
      <c r="D69" s="10">
        <f>E41</f>
        <v>1699.28</v>
      </c>
      <c r="E69" s="10">
        <f>C69*D69</f>
        <v>1699.28</v>
      </c>
      <c r="F69" s="64"/>
    </row>
    <row r="70" spans="1:6">
      <c r="A70" s="205" t="s">
        <v>199</v>
      </c>
      <c r="B70" s="9" t="s">
        <v>7</v>
      </c>
      <c r="C70" s="9">
        <v>1</v>
      </c>
      <c r="D70" s="288">
        <v>1100</v>
      </c>
      <c r="E70" s="10"/>
      <c r="F70" s="64"/>
    </row>
    <row r="71" spans="1:6">
      <c r="A71" s="206" t="s">
        <v>26</v>
      </c>
      <c r="B71" s="11" t="s">
        <v>0</v>
      </c>
      <c r="C71" s="289">
        <v>7.33</v>
      </c>
      <c r="D71" s="12">
        <f>D69/220*2</f>
        <v>15.448</v>
      </c>
      <c r="E71" s="12">
        <f>C71*D71</f>
        <v>113.23384</v>
      </c>
      <c r="F71" s="64"/>
    </row>
    <row r="72" spans="1:6">
      <c r="A72" s="206" t="s">
        <v>27</v>
      </c>
      <c r="B72" s="11" t="s">
        <v>0</v>
      </c>
      <c r="C72" s="289">
        <v>8</v>
      </c>
      <c r="D72" s="12">
        <f>D69/220*1.5</f>
        <v>11.586</v>
      </c>
      <c r="E72" s="12">
        <f>C72*D72</f>
        <v>92.688000000000002</v>
      </c>
      <c r="F72" s="64"/>
    </row>
    <row r="73" spans="1:6" ht="13.15" customHeight="1">
      <c r="A73" s="206" t="s">
        <v>166</v>
      </c>
      <c r="B73" s="11" t="s">
        <v>25</v>
      </c>
      <c r="C73" s="34"/>
      <c r="D73" s="12">
        <f>63/302*(SUM(E71:E72))</f>
        <v>42.957205033112587</v>
      </c>
      <c r="E73" s="12">
        <f>D73</f>
        <v>42.957205033112587</v>
      </c>
      <c r="F73" s="64"/>
    </row>
    <row r="74" spans="1:6">
      <c r="A74" s="206" t="s">
        <v>165</v>
      </c>
      <c r="B74" s="11"/>
      <c r="C74" s="291">
        <v>2</v>
      </c>
      <c r="D74" s="12"/>
      <c r="E74" s="12"/>
      <c r="F74" s="64"/>
    </row>
    <row r="75" spans="1:6">
      <c r="A75" s="206" t="s">
        <v>1</v>
      </c>
      <c r="B75" s="11" t="s">
        <v>2</v>
      </c>
      <c r="C75" s="290">
        <v>40</v>
      </c>
      <c r="D75" s="49">
        <f>IF(C74=2,SUM(E69:E73),IF(C74=1,(SUM(E69:E73))*D70/D69,0))</f>
        <v>1948.1590450331128</v>
      </c>
      <c r="E75" s="12">
        <f>C75*D75/100</f>
        <v>779.26361801324515</v>
      </c>
      <c r="F75" s="64"/>
    </row>
    <row r="76" spans="1:6" s="7" customFormat="1">
      <c r="A76" s="207" t="s">
        <v>3</v>
      </c>
      <c r="B76" s="190"/>
      <c r="C76" s="190"/>
      <c r="D76" s="20"/>
      <c r="E76" s="53">
        <f>SUM(E69:E75)</f>
        <v>2727.4226630463581</v>
      </c>
      <c r="F76" s="208"/>
    </row>
    <row r="77" spans="1:6">
      <c r="A77" s="206" t="s">
        <v>4</v>
      </c>
      <c r="B77" s="11" t="s">
        <v>2</v>
      </c>
      <c r="C77" s="66">
        <f>'2.Encargos Sociais'!$C$31*100</f>
        <v>72.231660000000005</v>
      </c>
      <c r="D77" s="12">
        <f>E76</f>
        <v>2727.4226630463581</v>
      </c>
      <c r="E77" s="12">
        <f>D77*C77/100</f>
        <v>1970.0626647345912</v>
      </c>
      <c r="F77" s="64"/>
    </row>
    <row r="78" spans="1:6" s="7" customFormat="1">
      <c r="A78" s="207" t="s">
        <v>356</v>
      </c>
      <c r="B78" s="152"/>
      <c r="C78" s="152"/>
      <c r="D78" s="153"/>
      <c r="E78" s="53">
        <f>E76+E77</f>
        <v>4697.4853277809489</v>
      </c>
      <c r="F78" s="208"/>
    </row>
    <row r="79" spans="1:6" ht="13.5" thickBot="1">
      <c r="A79" s="206" t="s">
        <v>5</v>
      </c>
      <c r="B79" s="11" t="s">
        <v>6</v>
      </c>
      <c r="C79" s="57">
        <f>D41</f>
        <v>3</v>
      </c>
      <c r="D79" s="12">
        <f>E78</f>
        <v>4697.4853277809489</v>
      </c>
      <c r="E79" s="12">
        <f>C79*D79</f>
        <v>14092.455983342847</v>
      </c>
      <c r="F79" s="64"/>
    </row>
    <row r="80" spans="1:6" ht="13.5" thickBot="1">
      <c r="A80" s="204"/>
      <c r="B80" s="34"/>
      <c r="C80" s="34"/>
      <c r="D80" s="191" t="s">
        <v>155</v>
      </c>
      <c r="E80" s="231">
        <f>B$50</f>
        <v>1</v>
      </c>
      <c r="F80" s="320">
        <f>E79*E80</f>
        <v>14092.455983342847</v>
      </c>
    </row>
    <row r="81" spans="1:6" ht="11.25" customHeight="1">
      <c r="A81" s="204"/>
      <c r="B81" s="34"/>
      <c r="C81" s="34"/>
      <c r="D81" s="36"/>
      <c r="E81" s="36"/>
      <c r="F81" s="64"/>
    </row>
    <row r="82" spans="1:6" ht="13.5" thickBot="1">
      <c r="A82" s="199" t="s">
        <v>329</v>
      </c>
      <c r="B82" s="34"/>
      <c r="C82" s="34"/>
      <c r="D82" s="36"/>
      <c r="E82" s="36"/>
      <c r="F82" s="64"/>
    </row>
    <row r="83" spans="1:6" s="8" customFormat="1" ht="13.15" customHeight="1" thickBot="1">
      <c r="A83" s="311" t="s">
        <v>49</v>
      </c>
      <c r="B83" s="312" t="s">
        <v>50</v>
      </c>
      <c r="C83" s="312" t="s">
        <v>31</v>
      </c>
      <c r="D83" s="314" t="s">
        <v>181</v>
      </c>
      <c r="E83" s="314" t="s">
        <v>51</v>
      </c>
      <c r="F83" s="315" t="s">
        <v>52</v>
      </c>
    </row>
    <row r="84" spans="1:6">
      <c r="A84" s="205" t="s">
        <v>198</v>
      </c>
      <c r="B84" s="9" t="s">
        <v>7</v>
      </c>
      <c r="C84" s="9">
        <v>1</v>
      </c>
      <c r="D84" s="10">
        <f>E42</f>
        <v>1397.27</v>
      </c>
      <c r="E84" s="10">
        <f>C84*D84</f>
        <v>1397.27</v>
      </c>
      <c r="F84" s="64"/>
    </row>
    <row r="85" spans="1:6">
      <c r="A85" s="205" t="s">
        <v>199</v>
      </c>
      <c r="B85" s="9" t="s">
        <v>7</v>
      </c>
      <c r="C85" s="9">
        <v>1</v>
      </c>
      <c r="D85" s="12">
        <f>D70</f>
        <v>1100</v>
      </c>
      <c r="E85" s="10"/>
      <c r="F85" s="64"/>
    </row>
    <row r="86" spans="1:6">
      <c r="A86" s="206" t="s">
        <v>26</v>
      </c>
      <c r="B86" s="11" t="s">
        <v>0</v>
      </c>
      <c r="C86" s="289">
        <v>7.33</v>
      </c>
      <c r="D86" s="12">
        <f>D84/220*2</f>
        <v>12.702454545454545</v>
      </c>
      <c r="E86" s="12">
        <f>C86*D86</f>
        <v>93.108991818181821</v>
      </c>
      <c r="F86" s="64"/>
    </row>
    <row r="87" spans="1:6">
      <c r="A87" s="206" t="s">
        <v>27</v>
      </c>
      <c r="B87" s="11" t="s">
        <v>0</v>
      </c>
      <c r="C87" s="289">
        <v>8</v>
      </c>
      <c r="D87" s="12">
        <f>D84/220*1.5</f>
        <v>9.5268409090909092</v>
      </c>
      <c r="E87" s="12">
        <f>C87*D87</f>
        <v>76.214727272727274</v>
      </c>
      <c r="F87" s="64"/>
    </row>
    <row r="88" spans="1:6" ht="13.15" customHeight="1">
      <c r="A88" s="206" t="s">
        <v>166</v>
      </c>
      <c r="B88" s="11" t="s">
        <v>25</v>
      </c>
      <c r="C88" s="34"/>
      <c r="D88" s="12">
        <f>63/302*(SUM(E86:E87))</f>
        <v>35.322497691149913</v>
      </c>
      <c r="E88" s="12">
        <f>D88</f>
        <v>35.322497691149913</v>
      </c>
      <c r="F88" s="64"/>
    </row>
    <row r="89" spans="1:6">
      <c r="A89" s="206" t="s">
        <v>165</v>
      </c>
      <c r="B89" s="11"/>
      <c r="C89" s="291">
        <v>2</v>
      </c>
      <c r="D89" s="12"/>
      <c r="E89" s="12"/>
      <c r="F89" s="64"/>
    </row>
    <row r="90" spans="1:6">
      <c r="A90" s="206" t="s">
        <v>1</v>
      </c>
      <c r="B90" s="11" t="s">
        <v>2</v>
      </c>
      <c r="C90" s="290">
        <v>40</v>
      </c>
      <c r="D90" s="49">
        <f>IF(C89=2,SUM(E84:E88),IF(C89=1,(SUM(E84:E88))*D85/D84,0))</f>
        <v>1601.9162167820589</v>
      </c>
      <c r="E90" s="12">
        <f>C90*D90/100</f>
        <v>640.76648671282351</v>
      </c>
      <c r="F90" s="64"/>
    </row>
    <row r="91" spans="1:6" s="7" customFormat="1">
      <c r="A91" s="207" t="s">
        <v>3</v>
      </c>
      <c r="B91" s="190"/>
      <c r="C91" s="190"/>
      <c r="D91" s="20"/>
      <c r="E91" s="53">
        <f>SUM(E84:E90)</f>
        <v>2242.6827034948824</v>
      </c>
      <c r="F91" s="208"/>
    </row>
    <row r="92" spans="1:6">
      <c r="A92" s="206" t="s">
        <v>4</v>
      </c>
      <c r="B92" s="11" t="s">
        <v>2</v>
      </c>
      <c r="C92" s="66">
        <f>'2.Encargos Sociais'!$C$31*100</f>
        <v>72.231660000000005</v>
      </c>
      <c r="D92" s="12">
        <f>E91</f>
        <v>2242.6827034948824</v>
      </c>
      <c r="E92" s="12">
        <f>D92*C92/100</f>
        <v>1619.9269452672318</v>
      </c>
      <c r="F92" s="64"/>
    </row>
    <row r="93" spans="1:6" s="7" customFormat="1">
      <c r="A93" s="207" t="s">
        <v>356</v>
      </c>
      <c r="B93" s="152"/>
      <c r="C93" s="152"/>
      <c r="D93" s="153"/>
      <c r="E93" s="53">
        <f>E91+E92</f>
        <v>3862.6096487621144</v>
      </c>
      <c r="F93" s="208"/>
    </row>
    <row r="94" spans="1:6" ht="13.5" thickBot="1">
      <c r="A94" s="206" t="s">
        <v>5</v>
      </c>
      <c r="B94" s="11" t="s">
        <v>6</v>
      </c>
      <c r="C94" s="57">
        <f>D42</f>
        <v>4</v>
      </c>
      <c r="D94" s="12">
        <f>E93</f>
        <v>3862.6096487621144</v>
      </c>
      <c r="E94" s="12">
        <f>C94*D94</f>
        <v>15450.438595048458</v>
      </c>
      <c r="F94" s="64"/>
    </row>
    <row r="95" spans="1:6" ht="13.5" thickBot="1">
      <c r="A95" s="195"/>
      <c r="B95" s="34"/>
      <c r="C95" s="34"/>
      <c r="D95" s="191" t="s">
        <v>155</v>
      </c>
      <c r="E95" s="31">
        <f>$B$50</f>
        <v>1</v>
      </c>
      <c r="F95" s="320">
        <f>E94*E95</f>
        <v>15450.438595048458</v>
      </c>
    </row>
    <row r="96" spans="1:6" ht="11.25" customHeight="1">
      <c r="A96" s="195"/>
      <c r="B96" s="34"/>
      <c r="C96" s="34"/>
      <c r="D96" s="36"/>
      <c r="E96" s="36"/>
      <c r="F96" s="64"/>
    </row>
    <row r="97" spans="1:6" ht="13.5" thickBot="1">
      <c r="A97" s="199" t="s">
        <v>281</v>
      </c>
      <c r="B97" s="192"/>
      <c r="C97" s="34"/>
      <c r="D97" s="34"/>
      <c r="E97" s="34"/>
      <c r="F97" s="64"/>
    </row>
    <row r="98" spans="1:6" ht="13.5" thickBot="1">
      <c r="A98" s="311" t="s">
        <v>49</v>
      </c>
      <c r="B98" s="312" t="s">
        <v>50</v>
      </c>
      <c r="C98" s="312" t="s">
        <v>31</v>
      </c>
      <c r="D98" s="314" t="s">
        <v>181</v>
      </c>
      <c r="E98" s="314" t="s">
        <v>51</v>
      </c>
      <c r="F98" s="315" t="s">
        <v>52</v>
      </c>
    </row>
    <row r="99" spans="1:6">
      <c r="A99" s="206" t="s">
        <v>71</v>
      </c>
      <c r="B99" s="11" t="s">
        <v>25</v>
      </c>
      <c r="C99" s="50">
        <v>1</v>
      </c>
      <c r="D99" s="292">
        <v>4.2</v>
      </c>
      <c r="E99" s="12"/>
      <c r="F99" s="64"/>
    </row>
    <row r="100" spans="1:6">
      <c r="A100" s="206" t="s">
        <v>72</v>
      </c>
      <c r="B100" s="11" t="s">
        <v>73</v>
      </c>
      <c r="C100" s="293">
        <v>25</v>
      </c>
      <c r="D100" s="12"/>
      <c r="E100" s="12"/>
      <c r="F100" s="64"/>
    </row>
    <row r="101" spans="1:6">
      <c r="A101" s="205" t="s">
        <v>331</v>
      </c>
      <c r="B101" s="182" t="s">
        <v>8</v>
      </c>
      <c r="C101" s="238">
        <f>$C$100*2*(D40*B51)</f>
        <v>50</v>
      </c>
      <c r="D101" s="232">
        <f>IFERROR((($C$100*2*$D$99)-(E40*0.06*C100/C100))/($C$100*2),"-")</f>
        <v>1.2</v>
      </c>
      <c r="E101" s="235">
        <f>IFERROR(C101*D101,"-")</f>
        <v>60</v>
      </c>
      <c r="F101" s="64"/>
    </row>
    <row r="102" spans="1:6">
      <c r="A102" s="205" t="s">
        <v>278</v>
      </c>
      <c r="B102" s="9" t="s">
        <v>8</v>
      </c>
      <c r="C102" s="31">
        <f>$C$100*2*(D41*B50)</f>
        <v>150</v>
      </c>
      <c r="D102" s="10">
        <f>IFERROR((($C$100*2*$D$99)-(E41*0.06*C100/C100))/($C$100*2),"-")</f>
        <v>2.1608640000000001</v>
      </c>
      <c r="E102" s="10">
        <f>IFERROR(C102*D102,"-")</f>
        <v>324.12960000000004</v>
      </c>
      <c r="F102" s="64"/>
    </row>
    <row r="103" spans="1:6" ht="13.5" thickBot="1">
      <c r="A103" s="210" t="s">
        <v>332</v>
      </c>
      <c r="B103" s="11" t="s">
        <v>8</v>
      </c>
      <c r="C103" s="31">
        <f>$C$100*2*(D42*B50)</f>
        <v>200</v>
      </c>
      <c r="D103" s="10">
        <f>IFERROR((($C$100*2*$D$99)-(E42*0.06*C100/C100))/($C$100*2),"-")</f>
        <v>2.5232760000000001</v>
      </c>
      <c r="E103" s="12">
        <f>IFERROR(C103*D103,"-")</f>
        <v>504.65520000000004</v>
      </c>
      <c r="F103" s="64"/>
    </row>
    <row r="104" spans="1:6" ht="13.5" thickBot="1">
      <c r="A104" s="195"/>
      <c r="B104" s="34"/>
      <c r="C104" s="34"/>
      <c r="D104" s="36"/>
      <c r="E104" s="36"/>
      <c r="F104" s="324">
        <f>SUM(E101:E103)</f>
        <v>888.78480000000013</v>
      </c>
    </row>
    <row r="105" spans="1:6" ht="11.25" customHeight="1">
      <c r="A105" s="195"/>
      <c r="B105" s="34"/>
      <c r="C105" s="34"/>
      <c r="D105" s="36"/>
      <c r="E105" s="36"/>
      <c r="F105" s="64"/>
    </row>
    <row r="106" spans="1:6" ht="13.5" thickBot="1">
      <c r="A106" s="200" t="s">
        <v>282</v>
      </c>
      <c r="B106" s="34"/>
      <c r="C106" s="34"/>
      <c r="D106" s="36"/>
      <c r="E106" s="36"/>
      <c r="F106" s="211"/>
    </row>
    <row r="107" spans="1:6" ht="13.5" thickBot="1">
      <c r="A107" s="311" t="s">
        <v>49</v>
      </c>
      <c r="B107" s="312" t="s">
        <v>50</v>
      </c>
      <c r="C107" s="312" t="s">
        <v>31</v>
      </c>
      <c r="D107" s="314" t="s">
        <v>181</v>
      </c>
      <c r="E107" s="314" t="s">
        <v>51</v>
      </c>
      <c r="F107" s="315" t="s">
        <v>52</v>
      </c>
    </row>
    <row r="108" spans="1:6">
      <c r="A108" s="210" t="s">
        <v>279</v>
      </c>
      <c r="B108" s="182" t="s">
        <v>9</v>
      </c>
      <c r="C108" s="236">
        <f>C100*D40*B51</f>
        <v>25</v>
      </c>
      <c r="D108" s="295">
        <v>18.2</v>
      </c>
      <c r="E108" s="237">
        <f>C108*D108</f>
        <v>455</v>
      </c>
      <c r="F108" s="211"/>
    </row>
    <row r="109" spans="1:6">
      <c r="A109" s="210" t="s">
        <v>234</v>
      </c>
      <c r="B109" s="182" t="s">
        <v>2</v>
      </c>
      <c r="C109" s="294">
        <v>0.19</v>
      </c>
      <c r="D109" s="31">
        <f>-D108*C109</f>
        <v>-3.4579999999999997</v>
      </c>
      <c r="E109" s="31">
        <f>D109*C108</f>
        <v>-86.449999999999989</v>
      </c>
      <c r="F109" s="211"/>
    </row>
    <row r="110" spans="1:6">
      <c r="A110" s="210" t="s">
        <v>266</v>
      </c>
      <c r="B110" s="182" t="s">
        <v>9</v>
      </c>
      <c r="C110" s="51">
        <f>C100*D41*B50</f>
        <v>75</v>
      </c>
      <c r="D110" s="295">
        <v>11.98</v>
      </c>
      <c r="E110" s="31">
        <f>C110*D110</f>
        <v>898.5</v>
      </c>
      <c r="F110" s="211"/>
    </row>
    <row r="111" spans="1:6">
      <c r="A111" s="210" t="s">
        <v>234</v>
      </c>
      <c r="B111" s="182" t="s">
        <v>2</v>
      </c>
      <c r="C111" s="294">
        <v>0.19</v>
      </c>
      <c r="D111" s="31">
        <f>-D110*C111</f>
        <v>-2.2762000000000002</v>
      </c>
      <c r="E111" s="31">
        <f>D111*C110</f>
        <v>-170.715</v>
      </c>
      <c r="F111" s="211"/>
    </row>
    <row r="112" spans="1:6">
      <c r="A112" s="210" t="s">
        <v>54</v>
      </c>
      <c r="B112" s="182" t="s">
        <v>9</v>
      </c>
      <c r="C112" s="51">
        <f>C100*D42*B50</f>
        <v>100</v>
      </c>
      <c r="D112" s="309">
        <f>D108</f>
        <v>18.2</v>
      </c>
      <c r="E112" s="31">
        <f>C112*D112</f>
        <v>1820</v>
      </c>
      <c r="F112" s="211"/>
    </row>
    <row r="113" spans="1:6" ht="13.5" thickBot="1">
      <c r="A113" s="210" t="s">
        <v>234</v>
      </c>
      <c r="B113" s="182" t="s">
        <v>2</v>
      </c>
      <c r="C113" s="294">
        <v>0.19</v>
      </c>
      <c r="D113" s="31">
        <f>-D112*C113</f>
        <v>-3.4579999999999997</v>
      </c>
      <c r="E113" s="31">
        <f>D113*C112</f>
        <v>-345.79999999999995</v>
      </c>
      <c r="F113" s="211"/>
    </row>
    <row r="114" spans="1:6" ht="13.5" thickBot="1">
      <c r="A114" s="195"/>
      <c r="B114" s="34"/>
      <c r="C114" s="34"/>
      <c r="D114" s="36"/>
      <c r="E114" s="36"/>
      <c r="F114" s="324">
        <f>SUM(E108:E113)</f>
        <v>2570.5349999999999</v>
      </c>
    </row>
    <row r="115" spans="1:6">
      <c r="A115" s="195"/>
      <c r="B115" s="34"/>
      <c r="C115" s="34"/>
      <c r="D115" s="36"/>
      <c r="E115" s="36"/>
      <c r="F115" s="64"/>
    </row>
    <row r="116" spans="1:6" ht="13.5" thickBot="1">
      <c r="A116" s="199" t="s">
        <v>283</v>
      </c>
      <c r="B116" s="34"/>
      <c r="C116" s="34"/>
      <c r="D116" s="36"/>
      <c r="E116" s="36"/>
      <c r="F116" s="211"/>
    </row>
    <row r="117" spans="1:6" ht="13.5" thickBot="1">
      <c r="A117" s="311" t="s">
        <v>49</v>
      </c>
      <c r="B117" s="312" t="s">
        <v>50</v>
      </c>
      <c r="C117" s="312" t="s">
        <v>31</v>
      </c>
      <c r="D117" s="314" t="s">
        <v>181</v>
      </c>
      <c r="E117" s="314" t="s">
        <v>51</v>
      </c>
      <c r="F117" s="315" t="s">
        <v>52</v>
      </c>
    </row>
    <row r="118" spans="1:6">
      <c r="A118" s="210" t="s">
        <v>266</v>
      </c>
      <c r="B118" s="11" t="s">
        <v>9</v>
      </c>
      <c r="C118" s="231">
        <f>D41*B50</f>
        <v>3</v>
      </c>
      <c r="D118" s="295">
        <v>90.93</v>
      </c>
      <c r="E118" s="31">
        <f t="shared" ref="E118" si="5">C118*D118</f>
        <v>272.79000000000002</v>
      </c>
      <c r="F118" s="211"/>
    </row>
    <row r="119" spans="1:6" ht="13.5" thickBot="1">
      <c r="A119" s="206" t="str">
        <f>+A111</f>
        <v>Desconto previsto na CCT</v>
      </c>
      <c r="B119" s="182" t="s">
        <v>2</v>
      </c>
      <c r="C119" s="294">
        <v>0.2</v>
      </c>
      <c r="D119" s="31">
        <f>-D118*C119</f>
        <v>-18.186000000000003</v>
      </c>
      <c r="E119" s="31">
        <f>C118*D119</f>
        <v>-54.558000000000007</v>
      </c>
      <c r="F119" s="211"/>
    </row>
    <row r="120" spans="1:6" ht="13.5" thickBot="1">
      <c r="A120" s="195"/>
      <c r="B120" s="34"/>
      <c r="C120" s="34"/>
      <c r="D120" s="36"/>
      <c r="E120" s="36"/>
      <c r="F120" s="324">
        <f>SUM(E118:E119)</f>
        <v>218.23200000000003</v>
      </c>
    </row>
    <row r="121" spans="1:6">
      <c r="A121" s="195"/>
      <c r="B121" s="34"/>
      <c r="C121" s="34"/>
      <c r="D121" s="36"/>
      <c r="E121" s="36"/>
      <c r="F121" s="64"/>
    </row>
    <row r="122" spans="1:6" ht="13.5" thickBot="1">
      <c r="A122" s="199" t="s">
        <v>284</v>
      </c>
      <c r="B122" s="34"/>
      <c r="C122" s="34"/>
      <c r="D122" s="36"/>
      <c r="E122" s="36"/>
      <c r="F122" s="211"/>
    </row>
    <row r="123" spans="1:6" ht="13.5" thickBot="1">
      <c r="A123" s="311" t="s">
        <v>49</v>
      </c>
      <c r="B123" s="312" t="s">
        <v>50</v>
      </c>
      <c r="C123" s="312" t="s">
        <v>31</v>
      </c>
      <c r="D123" s="314" t="s">
        <v>181</v>
      </c>
      <c r="E123" s="314" t="s">
        <v>51</v>
      </c>
      <c r="F123" s="315" t="s">
        <v>52</v>
      </c>
    </row>
    <row r="124" spans="1:6">
      <c r="A124" s="210" t="s">
        <v>279</v>
      </c>
      <c r="B124" s="11" t="s">
        <v>9</v>
      </c>
      <c r="C124" s="236">
        <f>D40*B51</f>
        <v>1</v>
      </c>
      <c r="D124" s="295">
        <v>15.62</v>
      </c>
      <c r="E124" s="237">
        <f>C124*D124</f>
        <v>15.62</v>
      </c>
      <c r="F124" s="211"/>
    </row>
    <row r="125" spans="1:6">
      <c r="A125" s="202" t="str">
        <f>A110</f>
        <v>Motorista</v>
      </c>
      <c r="B125" s="11" t="s">
        <v>9</v>
      </c>
      <c r="C125" s="310">
        <f>D41*B50</f>
        <v>3</v>
      </c>
      <c r="D125" s="31">
        <f>D124</f>
        <v>15.62</v>
      </c>
      <c r="E125" s="31">
        <f>C125*D125</f>
        <v>46.86</v>
      </c>
      <c r="F125" s="211"/>
    </row>
    <row r="126" spans="1:6" ht="13.5" thickBot="1">
      <c r="A126" s="206" t="str">
        <f>A112</f>
        <v>Coletor</v>
      </c>
      <c r="B126" s="11" t="s">
        <v>9</v>
      </c>
      <c r="C126" s="310">
        <f>D42*B50</f>
        <v>4</v>
      </c>
      <c r="D126" s="31">
        <f>D124</f>
        <v>15.62</v>
      </c>
      <c r="E126" s="31">
        <f>C126*D126</f>
        <v>62.48</v>
      </c>
      <c r="F126" s="211"/>
    </row>
    <row r="127" spans="1:6" ht="13.5" thickBot="1">
      <c r="A127" s="195"/>
      <c r="B127" s="34"/>
      <c r="C127" s="34"/>
      <c r="D127" s="36"/>
      <c r="E127" s="36"/>
      <c r="F127" s="324">
        <f>SUM(E124:E126)</f>
        <v>124.96</v>
      </c>
    </row>
    <row r="128" spans="1:6" ht="13.5" thickBot="1">
      <c r="A128" s="195"/>
      <c r="B128" s="34"/>
      <c r="C128" s="34"/>
      <c r="D128" s="36"/>
      <c r="E128" s="36"/>
      <c r="F128" s="64"/>
    </row>
    <row r="129" spans="1:6" ht="13.5" thickBot="1">
      <c r="A129" s="13" t="s">
        <v>74</v>
      </c>
      <c r="B129" s="14"/>
      <c r="C129" s="14"/>
      <c r="D129" s="15"/>
      <c r="E129" s="16"/>
      <c r="F129" s="324">
        <f>SUM(F56:F128)</f>
        <v>39373.514478391306</v>
      </c>
    </row>
    <row r="130" spans="1:6">
      <c r="A130" s="195"/>
      <c r="B130" s="34"/>
      <c r="C130" s="34"/>
      <c r="D130" s="36"/>
      <c r="E130" s="36"/>
      <c r="F130" s="64"/>
    </row>
    <row r="131" spans="1:6">
      <c r="A131" s="199" t="s">
        <v>34</v>
      </c>
      <c r="B131" s="34"/>
      <c r="C131" s="34"/>
      <c r="D131" s="36"/>
      <c r="E131" s="36"/>
      <c r="F131" s="64"/>
    </row>
    <row r="132" spans="1:6" ht="13.9" customHeight="1" thickBot="1">
      <c r="A132" s="199" t="s">
        <v>333</v>
      </c>
      <c r="B132" s="272"/>
      <c r="C132" s="272"/>
      <c r="D132" s="273"/>
      <c r="E132" s="273"/>
      <c r="F132" s="233"/>
    </row>
    <row r="133" spans="1:6" ht="27.75" customHeight="1" thickBot="1">
      <c r="A133" s="311" t="s">
        <v>49</v>
      </c>
      <c r="B133" s="312" t="s">
        <v>50</v>
      </c>
      <c r="C133" s="313" t="s">
        <v>192</v>
      </c>
      <c r="D133" s="314" t="s">
        <v>181</v>
      </c>
      <c r="E133" s="314" t="s">
        <v>51</v>
      </c>
      <c r="F133" s="315" t="s">
        <v>52</v>
      </c>
    </row>
    <row r="134" spans="1:6">
      <c r="A134" s="201" t="s">
        <v>288</v>
      </c>
      <c r="B134" s="183" t="s">
        <v>9</v>
      </c>
      <c r="C134" s="296">
        <f>12/2</f>
        <v>6</v>
      </c>
      <c r="D134" s="297">
        <v>122</v>
      </c>
      <c r="E134" s="232">
        <f>IFERROR(D134/C134,0)</f>
        <v>20.333333333333332</v>
      </c>
      <c r="F134" s="233"/>
    </row>
    <row r="135" spans="1:6" ht="13.15" customHeight="1">
      <c r="A135" s="217" t="s">
        <v>289</v>
      </c>
      <c r="B135" s="182" t="s">
        <v>9</v>
      </c>
      <c r="C135" s="298">
        <f>12/4</f>
        <v>3</v>
      </c>
      <c r="D135" s="297">
        <v>54</v>
      </c>
      <c r="E135" s="232">
        <f t="shared" ref="E135:E140" si="6">IFERROR(D135/C135,0)</f>
        <v>18</v>
      </c>
      <c r="F135" s="233"/>
    </row>
    <row r="136" spans="1:6">
      <c r="A136" s="217" t="s">
        <v>290</v>
      </c>
      <c r="B136" s="182" t="s">
        <v>9</v>
      </c>
      <c r="C136" s="298">
        <f>12/4</f>
        <v>3</v>
      </c>
      <c r="D136" s="297">
        <v>22.73</v>
      </c>
      <c r="E136" s="232">
        <f t="shared" si="6"/>
        <v>7.5766666666666671</v>
      </c>
      <c r="F136" s="233"/>
    </row>
    <row r="137" spans="1:6" ht="13.15" customHeight="1">
      <c r="A137" s="217" t="s">
        <v>291</v>
      </c>
      <c r="B137" s="182" t="s">
        <v>50</v>
      </c>
      <c r="C137" s="298">
        <f>12/3</f>
        <v>4</v>
      </c>
      <c r="D137" s="297">
        <v>8.91</v>
      </c>
      <c r="E137" s="232">
        <f t="shared" si="6"/>
        <v>2.2275</v>
      </c>
      <c r="F137" s="233"/>
    </row>
    <row r="138" spans="1:6" ht="13.9" customHeight="1">
      <c r="A138" s="217" t="s">
        <v>292</v>
      </c>
      <c r="B138" s="182" t="s">
        <v>37</v>
      </c>
      <c r="C138" s="298">
        <f>12/2</f>
        <v>6</v>
      </c>
      <c r="D138" s="297">
        <v>59.9</v>
      </c>
      <c r="E138" s="232">
        <f t="shared" si="6"/>
        <v>9.9833333333333325</v>
      </c>
      <c r="F138" s="233"/>
    </row>
    <row r="139" spans="1:6" ht="13.15" customHeight="1">
      <c r="A139" s="217" t="s">
        <v>293</v>
      </c>
      <c r="B139" s="182" t="s">
        <v>9</v>
      </c>
      <c r="C139" s="298">
        <f>12/1</f>
        <v>12</v>
      </c>
      <c r="D139" s="297">
        <v>33.909999999999997</v>
      </c>
      <c r="E139" s="232">
        <f t="shared" si="6"/>
        <v>2.8258333333333332</v>
      </c>
      <c r="F139" s="233"/>
    </row>
    <row r="140" spans="1:6" ht="13.15" customHeight="1">
      <c r="A140" s="217" t="s">
        <v>294</v>
      </c>
      <c r="B140" s="182" t="s">
        <v>38</v>
      </c>
      <c r="C140" s="298">
        <f>12/4</f>
        <v>3</v>
      </c>
      <c r="D140" s="297">
        <v>10.95</v>
      </c>
      <c r="E140" s="232">
        <f t="shared" si="6"/>
        <v>3.65</v>
      </c>
      <c r="F140" s="233"/>
    </row>
    <row r="141" spans="1:6" ht="13.15" customHeight="1">
      <c r="A141" s="210" t="s">
        <v>156</v>
      </c>
      <c r="B141" s="182" t="s">
        <v>90</v>
      </c>
      <c r="C141" s="234">
        <v>1</v>
      </c>
      <c r="D141" s="297">
        <f>'Lavagem unif.'!J16</f>
        <v>444.09722222222223</v>
      </c>
      <c r="E141" s="235">
        <f t="shared" ref="E141:E142" si="7">C141*D141</f>
        <v>444.09722222222223</v>
      </c>
      <c r="F141" s="233"/>
    </row>
    <row r="142" spans="1:6" ht="13.15" customHeight="1" thickBot="1">
      <c r="A142" s="217" t="s">
        <v>334</v>
      </c>
      <c r="B142" s="182" t="s">
        <v>6</v>
      </c>
      <c r="C142" s="330">
        <f>D41</f>
        <v>3</v>
      </c>
      <c r="D142" s="53">
        <f>+SUM(E134:E141)</f>
        <v>508.69388888888886</v>
      </c>
      <c r="E142" s="53">
        <f t="shared" si="7"/>
        <v>1526.0816666666665</v>
      </c>
      <c r="F142" s="233"/>
    </row>
    <row r="143" spans="1:6" ht="13.5" thickBot="1">
      <c r="A143" s="195"/>
      <c r="B143" s="34"/>
      <c r="C143" s="34"/>
      <c r="D143" s="191" t="s">
        <v>155</v>
      </c>
      <c r="E143" s="31">
        <f>B50</f>
        <v>1</v>
      </c>
      <c r="F143" s="320">
        <f>E142*E143</f>
        <v>1526.0816666666665</v>
      </c>
    </row>
    <row r="144" spans="1:6" ht="11.25" customHeight="1">
      <c r="A144" s="195"/>
      <c r="B144" s="34"/>
      <c r="C144" s="34"/>
      <c r="D144" s="36"/>
      <c r="E144" s="36"/>
      <c r="F144" s="64"/>
    </row>
    <row r="145" spans="1:6" ht="13.9" customHeight="1" thickBot="1">
      <c r="A145" s="199" t="s">
        <v>335</v>
      </c>
      <c r="B145" s="34"/>
      <c r="C145" s="34"/>
      <c r="D145" s="36"/>
      <c r="E145" s="36"/>
      <c r="F145" s="64"/>
    </row>
    <row r="146" spans="1:6" ht="24.75" thickBot="1">
      <c r="A146" s="311" t="s">
        <v>49</v>
      </c>
      <c r="B146" s="312" t="s">
        <v>50</v>
      </c>
      <c r="C146" s="313" t="s">
        <v>192</v>
      </c>
      <c r="D146" s="314" t="s">
        <v>181</v>
      </c>
      <c r="E146" s="314" t="s">
        <v>51</v>
      </c>
      <c r="F146" s="315" t="s">
        <v>52</v>
      </c>
    </row>
    <row r="147" spans="1:6">
      <c r="A147" s="201" t="s">
        <v>336</v>
      </c>
      <c r="B147" s="183" t="s">
        <v>9</v>
      </c>
      <c r="C147" s="296">
        <f>12/4</f>
        <v>3</v>
      </c>
      <c r="D147" s="253">
        <f>D134</f>
        <v>122</v>
      </c>
      <c r="E147" s="232">
        <f>IFERROR(D147/C147,0)</f>
        <v>40.666666666666664</v>
      </c>
      <c r="F147" s="233"/>
    </row>
    <row r="148" spans="1:6">
      <c r="A148" s="217" t="s">
        <v>337</v>
      </c>
      <c r="B148" s="182" t="s">
        <v>9</v>
      </c>
      <c r="C148" s="298">
        <f>12/8</f>
        <v>1.5</v>
      </c>
      <c r="D148" s="253">
        <f>D135</f>
        <v>54</v>
      </c>
      <c r="E148" s="232">
        <f t="shared" ref="E148:E156" si="8">IFERROR(D148/C148,0)</f>
        <v>36</v>
      </c>
      <c r="F148" s="233"/>
    </row>
    <row r="149" spans="1:6">
      <c r="A149" s="217" t="s">
        <v>338</v>
      </c>
      <c r="B149" s="182" t="s">
        <v>9</v>
      </c>
      <c r="C149" s="298">
        <f>12/8</f>
        <v>1.5</v>
      </c>
      <c r="D149" s="253">
        <f>D136</f>
        <v>22.73</v>
      </c>
      <c r="E149" s="232">
        <f t="shared" si="8"/>
        <v>15.153333333333334</v>
      </c>
      <c r="F149" s="233"/>
    </row>
    <row r="150" spans="1:6">
      <c r="A150" s="217" t="s">
        <v>339</v>
      </c>
      <c r="B150" s="182" t="s">
        <v>50</v>
      </c>
      <c r="C150" s="298">
        <f>12/2</f>
        <v>6</v>
      </c>
      <c r="D150" s="253">
        <f>D137</f>
        <v>8.91</v>
      </c>
      <c r="E150" s="232">
        <f>IFERROR(D150/C150,0)</f>
        <v>1.4850000000000001</v>
      </c>
      <c r="F150" s="233"/>
    </row>
    <row r="151" spans="1:6">
      <c r="A151" s="217" t="s">
        <v>340</v>
      </c>
      <c r="B151" s="182" t="s">
        <v>37</v>
      </c>
      <c r="C151" s="298">
        <f>12/6</f>
        <v>2</v>
      </c>
      <c r="D151" s="253">
        <f>D138</f>
        <v>59.9</v>
      </c>
      <c r="E151" s="232">
        <f t="shared" si="8"/>
        <v>29.95</v>
      </c>
      <c r="F151" s="233"/>
    </row>
    <row r="152" spans="1:6">
      <c r="A152" s="217" t="s">
        <v>341</v>
      </c>
      <c r="B152" s="182" t="s">
        <v>37</v>
      </c>
      <c r="C152" s="298">
        <f>12/8</f>
        <v>1.5</v>
      </c>
      <c r="D152" s="297">
        <v>3.99</v>
      </c>
      <c r="E152" s="232">
        <f t="shared" si="8"/>
        <v>2.66</v>
      </c>
      <c r="F152" s="233"/>
    </row>
    <row r="153" spans="1:6">
      <c r="A153" s="217" t="s">
        <v>342</v>
      </c>
      <c r="B153" s="182" t="s">
        <v>9</v>
      </c>
      <c r="C153" s="298">
        <f>12/1</f>
        <v>12</v>
      </c>
      <c r="D153" s="253">
        <f>D139</f>
        <v>33.909999999999997</v>
      </c>
      <c r="E153" s="232">
        <f t="shared" si="8"/>
        <v>2.8258333333333332</v>
      </c>
      <c r="F153" s="233"/>
    </row>
    <row r="154" spans="1:6">
      <c r="A154" s="217" t="s">
        <v>343</v>
      </c>
      <c r="B154" s="182" t="s">
        <v>9</v>
      </c>
      <c r="C154" s="298">
        <f>12/4</f>
        <v>3</v>
      </c>
      <c r="D154" s="297">
        <v>20.55</v>
      </c>
      <c r="E154" s="232">
        <f t="shared" si="8"/>
        <v>6.8500000000000005</v>
      </c>
      <c r="F154" s="233"/>
    </row>
    <row r="155" spans="1:6">
      <c r="A155" s="217" t="s">
        <v>344</v>
      </c>
      <c r="B155" s="182" t="s">
        <v>37</v>
      </c>
      <c r="C155" s="298">
        <f>12/8</f>
        <v>1.5</v>
      </c>
      <c r="D155" s="297">
        <v>7.41</v>
      </c>
      <c r="E155" s="232">
        <f t="shared" si="8"/>
        <v>4.9400000000000004</v>
      </c>
      <c r="F155" s="233"/>
    </row>
    <row r="156" spans="1:6">
      <c r="A156" s="217" t="s">
        <v>345</v>
      </c>
      <c r="B156" s="182" t="s">
        <v>38</v>
      </c>
      <c r="C156" s="298">
        <f>12/4</f>
        <v>3</v>
      </c>
      <c r="D156" s="253">
        <f>D140</f>
        <v>10.95</v>
      </c>
      <c r="E156" s="232">
        <f t="shared" si="8"/>
        <v>3.65</v>
      </c>
      <c r="F156" s="233"/>
    </row>
    <row r="157" spans="1:6">
      <c r="A157" s="217" t="s">
        <v>156</v>
      </c>
      <c r="B157" s="317" t="s">
        <v>90</v>
      </c>
      <c r="C157" s="234">
        <v>1</v>
      </c>
      <c r="D157" s="297">
        <f>'Lavagem unif.'!J8</f>
        <v>492.70833333333331</v>
      </c>
      <c r="E157" s="235">
        <f t="shared" ref="E157:E158" si="9">C157*D157</f>
        <v>492.70833333333331</v>
      </c>
      <c r="F157" s="233"/>
    </row>
    <row r="158" spans="1:6" ht="13.5" thickBot="1">
      <c r="A158" s="217" t="s">
        <v>5</v>
      </c>
      <c r="B158" s="182" t="s">
        <v>6</v>
      </c>
      <c r="C158" s="318">
        <f>D42</f>
        <v>4</v>
      </c>
      <c r="D158" s="53">
        <f>+SUM(E147:E157)</f>
        <v>636.8891666666666</v>
      </c>
      <c r="E158" s="53">
        <f t="shared" si="9"/>
        <v>2547.5566666666664</v>
      </c>
      <c r="F158" s="233"/>
    </row>
    <row r="159" spans="1:6" ht="13.5" thickBot="1">
      <c r="A159" s="271"/>
      <c r="B159" s="272"/>
      <c r="C159" s="319"/>
      <c r="D159" s="191" t="s">
        <v>155</v>
      </c>
      <c r="E159" s="31">
        <f>B50</f>
        <v>1</v>
      </c>
      <c r="F159" s="316">
        <f>E158*E159</f>
        <v>2547.5566666666664</v>
      </c>
    </row>
    <row r="160" spans="1:6" ht="11.25" customHeight="1" thickBot="1">
      <c r="A160" s="195"/>
      <c r="B160" s="34"/>
      <c r="C160" s="34"/>
      <c r="D160" s="34"/>
      <c r="E160" s="36"/>
      <c r="F160" s="64"/>
    </row>
    <row r="161" spans="1:6" ht="13.5" thickBot="1">
      <c r="A161" s="13" t="s">
        <v>157</v>
      </c>
      <c r="B161" s="17"/>
      <c r="C161" s="17"/>
      <c r="D161" s="18"/>
      <c r="E161" s="19"/>
      <c r="F161" s="316">
        <f>+F143+F159</f>
        <v>4073.6383333333329</v>
      </c>
    </row>
    <row r="162" spans="1:6" ht="11.25" customHeight="1">
      <c r="A162" s="195"/>
      <c r="B162" s="34"/>
      <c r="C162" s="34"/>
      <c r="D162" s="36"/>
      <c r="E162" s="36"/>
      <c r="F162" s="64"/>
    </row>
    <row r="163" spans="1:6">
      <c r="A163" s="199" t="s">
        <v>43</v>
      </c>
      <c r="B163" s="34"/>
      <c r="C163" s="34"/>
      <c r="D163" s="36"/>
      <c r="E163" s="36"/>
      <c r="F163" s="64"/>
    </row>
    <row r="164" spans="1:6">
      <c r="A164" s="325" t="s">
        <v>346</v>
      </c>
      <c r="B164" s="34"/>
      <c r="C164" s="34"/>
      <c r="D164" s="36"/>
      <c r="E164" s="36"/>
      <c r="F164" s="64"/>
    </row>
    <row r="165" spans="1:6" ht="13.5" thickBot="1">
      <c r="A165" s="213" t="s">
        <v>35</v>
      </c>
      <c r="B165" s="34"/>
      <c r="C165" s="34"/>
      <c r="D165" s="36"/>
      <c r="E165" s="36"/>
      <c r="F165" s="64"/>
    </row>
    <row r="166" spans="1:6" ht="13.5" thickBot="1">
      <c r="A166" s="311" t="s">
        <v>49</v>
      </c>
      <c r="B166" s="312" t="s">
        <v>50</v>
      </c>
      <c r="C166" s="312" t="s">
        <v>31</v>
      </c>
      <c r="D166" s="314" t="s">
        <v>181</v>
      </c>
      <c r="E166" s="314" t="s">
        <v>51</v>
      </c>
      <c r="F166" s="315" t="s">
        <v>52</v>
      </c>
    </row>
    <row r="167" spans="1:6">
      <c r="A167" s="212" t="s">
        <v>79</v>
      </c>
      <c r="B167" s="9" t="s">
        <v>9</v>
      </c>
      <c r="C167" s="159">
        <v>1</v>
      </c>
      <c r="D167" s="288">
        <v>300000</v>
      </c>
      <c r="E167" s="10">
        <f>C167*D167</f>
        <v>300000</v>
      </c>
      <c r="F167" s="64"/>
    </row>
    <row r="168" spans="1:6">
      <c r="A168" s="206" t="s">
        <v>76</v>
      </c>
      <c r="B168" s="11" t="s">
        <v>77</v>
      </c>
      <c r="C168" s="290">
        <v>10</v>
      </c>
      <c r="D168" s="49"/>
      <c r="E168" s="12"/>
      <c r="F168" s="64"/>
    </row>
    <row r="169" spans="1:6">
      <c r="A169" s="206" t="s">
        <v>162</v>
      </c>
      <c r="B169" s="11" t="s">
        <v>77</v>
      </c>
      <c r="C169" s="290">
        <v>0</v>
      </c>
      <c r="D169" s="12"/>
      <c r="E169" s="12"/>
      <c r="F169" s="214"/>
    </row>
    <row r="170" spans="1:6">
      <c r="A170" s="206" t="s">
        <v>78</v>
      </c>
      <c r="B170" s="11" t="s">
        <v>2</v>
      </c>
      <c r="C170" s="66">
        <f>IFERROR(VLOOKUP(C168,'5. Depreciação'!A3:B17,2,FALSE),0)</f>
        <v>65</v>
      </c>
      <c r="D170" s="12">
        <f>E167</f>
        <v>300000</v>
      </c>
      <c r="E170" s="12">
        <f>C170*D170/100</f>
        <v>195000</v>
      </c>
      <c r="F170" s="64"/>
    </row>
    <row r="171" spans="1:6" ht="13.5" thickBot="1">
      <c r="A171" s="215" t="s">
        <v>39</v>
      </c>
      <c r="B171" s="162" t="s">
        <v>7</v>
      </c>
      <c r="C171" s="162">
        <f>C168*12</f>
        <v>120</v>
      </c>
      <c r="D171" s="163">
        <f>IF(C169&lt;=C168,E170,0)</f>
        <v>195000</v>
      </c>
      <c r="E171" s="163">
        <f>IFERROR(D171/C171,0)</f>
        <v>1625</v>
      </c>
      <c r="F171" s="64"/>
    </row>
    <row r="172" spans="1:6" ht="13.5" thickTop="1">
      <c r="A172" s="216" t="s">
        <v>267</v>
      </c>
      <c r="B172" s="9" t="s">
        <v>9</v>
      </c>
      <c r="C172" s="9">
        <f>C167</f>
        <v>1</v>
      </c>
      <c r="D172" s="288">
        <v>160800</v>
      </c>
      <c r="E172" s="10">
        <f>C172*D172</f>
        <v>160800</v>
      </c>
      <c r="F172" s="64"/>
    </row>
    <row r="173" spans="1:6">
      <c r="A173" s="217" t="s">
        <v>220</v>
      </c>
      <c r="B173" s="11" t="s">
        <v>77</v>
      </c>
      <c r="C173" s="290">
        <v>10</v>
      </c>
      <c r="D173" s="12"/>
      <c r="E173" s="12"/>
      <c r="F173" s="64"/>
    </row>
    <row r="174" spans="1:6">
      <c r="A174" s="217" t="s">
        <v>268</v>
      </c>
      <c r="B174" s="11" t="s">
        <v>77</v>
      </c>
      <c r="C174" s="290">
        <v>0</v>
      </c>
      <c r="D174" s="12"/>
      <c r="E174" s="12"/>
      <c r="F174" s="214"/>
    </row>
    <row r="175" spans="1:6">
      <c r="A175" s="217" t="s">
        <v>269</v>
      </c>
      <c r="B175" s="11" t="s">
        <v>2</v>
      </c>
      <c r="C175" s="67">
        <f>IFERROR(VLOOKUP(C173,'5. Depreciação'!A$3:B$17,2,FALSE),0)</f>
        <v>65</v>
      </c>
      <c r="D175" s="12">
        <f>E172</f>
        <v>160800</v>
      </c>
      <c r="E175" s="12">
        <f>C175*D175/100</f>
        <v>104520</v>
      </c>
      <c r="F175" s="64"/>
    </row>
    <row r="176" spans="1:6">
      <c r="A176" s="218" t="s">
        <v>270</v>
      </c>
      <c r="B176" s="52" t="s">
        <v>7</v>
      </c>
      <c r="C176" s="52">
        <f>C173*12</f>
        <v>120</v>
      </c>
      <c r="D176" s="53">
        <f>IF(C174&lt;=C173,E175,0)</f>
        <v>104520</v>
      </c>
      <c r="E176" s="53">
        <f>IFERROR(D176/C176,0)</f>
        <v>871</v>
      </c>
      <c r="F176" s="64"/>
    </row>
    <row r="177" spans="1:6">
      <c r="A177" s="207" t="s">
        <v>271</v>
      </c>
      <c r="B177" s="152"/>
      <c r="C177" s="152"/>
      <c r="D177" s="153"/>
      <c r="E177" s="53">
        <f>E171+E176</f>
        <v>2496</v>
      </c>
      <c r="F177" s="64"/>
    </row>
    <row r="178" spans="1:6" ht="13.5" thickBot="1">
      <c r="A178" s="207" t="s">
        <v>195</v>
      </c>
      <c r="B178" s="52" t="s">
        <v>9</v>
      </c>
      <c r="C178" s="160">
        <f>E46</f>
        <v>2</v>
      </c>
      <c r="D178" s="53">
        <f>E177</f>
        <v>2496</v>
      </c>
      <c r="E178" s="56">
        <f>C178*D178</f>
        <v>4992</v>
      </c>
      <c r="F178" s="64"/>
    </row>
    <row r="179" spans="1:6" ht="13.5" thickBot="1">
      <c r="A179" s="219"/>
      <c r="B179" s="158"/>
      <c r="C179" s="158"/>
      <c r="D179" s="191" t="s">
        <v>155</v>
      </c>
      <c r="E179" s="31">
        <f>$B$50</f>
        <v>1</v>
      </c>
      <c r="F179" s="316">
        <f>E178*E179</f>
        <v>4992</v>
      </c>
    </row>
    <row r="180" spans="1:6" ht="13.5" thickBot="1">
      <c r="A180" s="213" t="s">
        <v>83</v>
      </c>
      <c r="B180" s="34"/>
      <c r="C180" s="34"/>
      <c r="D180" s="36"/>
      <c r="E180" s="36"/>
      <c r="F180" s="64"/>
    </row>
    <row r="181" spans="1:6" ht="13.5" thickBot="1">
      <c r="A181" s="311" t="s">
        <v>49</v>
      </c>
      <c r="B181" s="312" t="s">
        <v>50</v>
      </c>
      <c r="C181" s="312" t="s">
        <v>31</v>
      </c>
      <c r="D181" s="314" t="s">
        <v>181</v>
      </c>
      <c r="E181" s="314" t="s">
        <v>51</v>
      </c>
      <c r="F181" s="315" t="s">
        <v>52</v>
      </c>
    </row>
    <row r="182" spans="1:6">
      <c r="A182" s="212" t="s">
        <v>82</v>
      </c>
      <c r="B182" s="9" t="s">
        <v>9</v>
      </c>
      <c r="C182" s="159">
        <v>1</v>
      </c>
      <c r="D182" s="10">
        <f>D167</f>
        <v>300000</v>
      </c>
      <c r="E182" s="10">
        <f>C182*D182</f>
        <v>300000</v>
      </c>
      <c r="F182" s="214"/>
    </row>
    <row r="183" spans="1:6">
      <c r="A183" s="206" t="s">
        <v>164</v>
      </c>
      <c r="B183" s="11" t="s">
        <v>2</v>
      </c>
      <c r="C183" s="350">
        <v>4.25</v>
      </c>
      <c r="D183" s="12"/>
      <c r="E183" s="12"/>
      <c r="F183" s="214"/>
    </row>
    <row r="184" spans="1:6">
      <c r="A184" s="206" t="s">
        <v>163</v>
      </c>
      <c r="B184" s="11" t="s">
        <v>25</v>
      </c>
      <c r="C184" s="70">
        <f>IFERROR(IF(C169&lt;=C168,E167-(C170/(100*C168)*C169)*E167,E167-E170),0)</f>
        <v>300000</v>
      </c>
      <c r="D184" s="12"/>
      <c r="E184" s="12"/>
      <c r="F184" s="214"/>
    </row>
    <row r="185" spans="1:6">
      <c r="A185" s="206" t="s">
        <v>85</v>
      </c>
      <c r="B185" s="11" t="s">
        <v>25</v>
      </c>
      <c r="C185" s="49">
        <f>IFERROR(IF(C169&gt;=C168,C184,((((C184)-(E167-E170))*(((C168-C169)+1)/(2*(C168-C169))))+(E167-E170))),0)</f>
        <v>212250</v>
      </c>
      <c r="D185" s="12"/>
      <c r="E185" s="12"/>
      <c r="F185" s="214"/>
    </row>
    <row r="186" spans="1:6" ht="13.5" thickBot="1">
      <c r="A186" s="215" t="s">
        <v>86</v>
      </c>
      <c r="B186" s="162" t="s">
        <v>25</v>
      </c>
      <c r="C186" s="162"/>
      <c r="D186" s="164">
        <f>C183*C185/12/100</f>
        <v>751.71875</v>
      </c>
      <c r="E186" s="163">
        <f>D186</f>
        <v>751.71875</v>
      </c>
      <c r="F186" s="214"/>
    </row>
    <row r="187" spans="1:6" ht="13.5" thickTop="1">
      <c r="A187" s="201" t="s">
        <v>221</v>
      </c>
      <c r="B187" s="9" t="s">
        <v>9</v>
      </c>
      <c r="C187" s="9">
        <f>C172</f>
        <v>1</v>
      </c>
      <c r="D187" s="10">
        <f>D172</f>
        <v>160800</v>
      </c>
      <c r="E187" s="10">
        <f>C187*D187</f>
        <v>160800</v>
      </c>
      <c r="F187" s="214"/>
    </row>
    <row r="188" spans="1:6">
      <c r="A188" s="210" t="s">
        <v>164</v>
      </c>
      <c r="B188" s="11" t="s">
        <v>2</v>
      </c>
      <c r="C188" s="160">
        <f>C183</f>
        <v>4.25</v>
      </c>
      <c r="D188" s="12"/>
      <c r="E188" s="12"/>
      <c r="F188" s="214"/>
    </row>
    <row r="189" spans="1:6">
      <c r="A189" s="210" t="s">
        <v>272</v>
      </c>
      <c r="B189" s="11" t="s">
        <v>25</v>
      </c>
      <c r="C189" s="70">
        <f>IFERROR(IF(C174&lt;=C173,E172-(C175/(100*C173)*C174)*E172,E172-E175),0)</f>
        <v>160800</v>
      </c>
      <c r="D189" s="12"/>
      <c r="E189" s="12"/>
      <c r="F189" s="214"/>
    </row>
    <row r="190" spans="1:6">
      <c r="A190" s="220" t="s">
        <v>273</v>
      </c>
      <c r="B190" s="11" t="s">
        <v>25</v>
      </c>
      <c r="C190" s="49">
        <f>IFERROR(IF(C174&gt;=C173,C189,((((C189)-(E172-E175))*(((C173-C174)+1)/(2*(C173-C174))))+(E172-E175))),0)</f>
        <v>113766</v>
      </c>
      <c r="D190" s="12"/>
      <c r="E190" s="12"/>
      <c r="F190" s="214"/>
    </row>
    <row r="191" spans="1:6" ht="25.5">
      <c r="A191" s="221" t="s">
        <v>274</v>
      </c>
      <c r="B191" s="52" t="s">
        <v>25</v>
      </c>
      <c r="C191" s="52"/>
      <c r="D191" s="55">
        <f>C188*C190/12/100</f>
        <v>402.92124999999999</v>
      </c>
      <c r="E191" s="53">
        <f>D191</f>
        <v>402.92124999999999</v>
      </c>
      <c r="F191" s="214"/>
    </row>
    <row r="192" spans="1:6">
      <c r="A192" s="209" t="s">
        <v>226</v>
      </c>
      <c r="B192" s="190"/>
      <c r="C192" s="190"/>
      <c r="D192" s="20"/>
      <c r="E192" s="56">
        <f>E186+E191</f>
        <v>1154.6399999999999</v>
      </c>
      <c r="F192" s="214"/>
    </row>
    <row r="193" spans="1:6" ht="13.5" thickBot="1">
      <c r="A193" s="207" t="s">
        <v>195</v>
      </c>
      <c r="B193" s="52" t="s">
        <v>9</v>
      </c>
      <c r="C193" s="160">
        <f>C178</f>
        <v>2</v>
      </c>
      <c r="D193" s="53">
        <f>E192</f>
        <v>1154.6399999999999</v>
      </c>
      <c r="E193" s="56">
        <f>C193*D193</f>
        <v>2309.2799999999997</v>
      </c>
      <c r="F193" s="214"/>
    </row>
    <row r="194" spans="1:6" ht="13.5" thickBot="1">
      <c r="A194" s="195"/>
      <c r="B194" s="34"/>
      <c r="C194" s="193"/>
      <c r="D194" s="191" t="s">
        <v>155</v>
      </c>
      <c r="E194" s="31">
        <f>$B$50</f>
        <v>1</v>
      </c>
      <c r="F194" s="316">
        <f>E193*E194</f>
        <v>2309.2799999999997</v>
      </c>
    </row>
    <row r="195" spans="1:6" ht="13.5" thickBot="1">
      <c r="A195" s="199" t="s">
        <v>40</v>
      </c>
      <c r="B195" s="34"/>
      <c r="C195" s="34"/>
      <c r="D195" s="36"/>
      <c r="E195" s="36"/>
      <c r="F195" s="64"/>
    </row>
    <row r="196" spans="1:6" ht="13.5" thickBot="1">
      <c r="A196" s="311" t="s">
        <v>49</v>
      </c>
      <c r="B196" s="312" t="s">
        <v>50</v>
      </c>
      <c r="C196" s="312" t="s">
        <v>31</v>
      </c>
      <c r="D196" s="314" t="s">
        <v>181</v>
      </c>
      <c r="E196" s="314" t="s">
        <v>51</v>
      </c>
      <c r="F196" s="315" t="s">
        <v>52</v>
      </c>
    </row>
    <row r="197" spans="1:6">
      <c r="A197" s="212" t="s">
        <v>10</v>
      </c>
      <c r="B197" s="9" t="s">
        <v>9</v>
      </c>
      <c r="C197" s="10">
        <f>C178</f>
        <v>2</v>
      </c>
      <c r="D197" s="297">
        <v>3076</v>
      </c>
      <c r="E197" s="10">
        <f>C197*D197</f>
        <v>6152</v>
      </c>
      <c r="F197" s="64"/>
    </row>
    <row r="198" spans="1:6">
      <c r="A198" s="210" t="s">
        <v>347</v>
      </c>
      <c r="B198" s="11" t="s">
        <v>9</v>
      </c>
      <c r="C198" s="10">
        <f>C178</f>
        <v>2</v>
      </c>
      <c r="D198" s="326">
        <v>66.7</v>
      </c>
      <c r="E198" s="12">
        <f>C198*D198</f>
        <v>133.4</v>
      </c>
      <c r="F198" s="64"/>
    </row>
    <row r="199" spans="1:6">
      <c r="A199" s="206" t="s">
        <v>11</v>
      </c>
      <c r="B199" s="11" t="s">
        <v>9</v>
      </c>
      <c r="C199" s="10">
        <f>C178</f>
        <v>2</v>
      </c>
      <c r="D199" s="326">
        <v>1500</v>
      </c>
      <c r="E199" s="12">
        <f>C199*D199</f>
        <v>3000</v>
      </c>
      <c r="F199" s="222"/>
    </row>
    <row r="200" spans="1:6" ht="13.5" thickBot="1">
      <c r="A200" s="207" t="s">
        <v>12</v>
      </c>
      <c r="B200" s="52" t="s">
        <v>7</v>
      </c>
      <c r="C200" s="52">
        <v>12</v>
      </c>
      <c r="D200" s="53">
        <f>SUM(E197:E199)</f>
        <v>9285.4</v>
      </c>
      <c r="E200" s="53">
        <f>D200/C200</f>
        <v>773.7833333333333</v>
      </c>
      <c r="F200" s="64"/>
    </row>
    <row r="201" spans="1:6" ht="13.5" thickBot="1">
      <c r="A201" s="195"/>
      <c r="B201" s="34"/>
      <c r="C201" s="34"/>
      <c r="D201" s="331" t="s">
        <v>155</v>
      </c>
      <c r="E201" s="31">
        <f>$B$50</f>
        <v>1</v>
      </c>
      <c r="F201" s="320">
        <f>E200*E201</f>
        <v>773.7833333333333</v>
      </c>
    </row>
    <row r="202" spans="1:6" ht="11.25" customHeight="1">
      <c r="A202" s="195"/>
      <c r="B202" s="34"/>
      <c r="C202" s="34"/>
      <c r="D202" s="36"/>
      <c r="E202" s="36"/>
      <c r="F202" s="64"/>
    </row>
    <row r="203" spans="1:6">
      <c r="A203" s="199" t="s">
        <v>41</v>
      </c>
      <c r="B203" s="194"/>
      <c r="C203" s="34"/>
      <c r="D203" s="36"/>
      <c r="E203" s="36"/>
      <c r="F203" s="64"/>
    </row>
    <row r="204" spans="1:6" ht="13.5" thickBot="1">
      <c r="A204" s="218" t="s">
        <v>227</v>
      </c>
      <c r="B204" s="300">
        <v>10272</v>
      </c>
      <c r="C204" s="34"/>
      <c r="D204" s="36"/>
      <c r="E204" s="36"/>
      <c r="F204" s="64"/>
    </row>
    <row r="205" spans="1:6" ht="13.5" thickBot="1">
      <c r="A205" s="311" t="s">
        <v>49</v>
      </c>
      <c r="B205" s="312" t="s">
        <v>50</v>
      </c>
      <c r="C205" s="312" t="s">
        <v>194</v>
      </c>
      <c r="D205" s="314" t="s">
        <v>181</v>
      </c>
      <c r="E205" s="314" t="s">
        <v>51</v>
      </c>
      <c r="F205" s="315" t="s">
        <v>52</v>
      </c>
    </row>
    <row r="206" spans="1:6">
      <c r="A206" s="212" t="s">
        <v>13</v>
      </c>
      <c r="B206" s="9" t="s">
        <v>14</v>
      </c>
      <c r="C206" s="303">
        <v>2.93</v>
      </c>
      <c r="D206" s="302">
        <v>4.4800000000000004</v>
      </c>
      <c r="E206" s="10"/>
      <c r="F206" s="64"/>
    </row>
    <row r="207" spans="1:6">
      <c r="A207" s="206" t="s">
        <v>15</v>
      </c>
      <c r="B207" s="11" t="s">
        <v>16</v>
      </c>
      <c r="C207" s="50">
        <f>B204</f>
        <v>10272</v>
      </c>
      <c r="D207" s="157">
        <f>IFERROR(+D206/C206,"-")</f>
        <v>1.5290102389078499</v>
      </c>
      <c r="E207" s="12">
        <f>IFERROR(C207*D207,"-")</f>
        <v>15705.993174061434</v>
      </c>
      <c r="F207" s="64"/>
    </row>
    <row r="208" spans="1:6">
      <c r="A208" s="210" t="s">
        <v>235</v>
      </c>
      <c r="B208" s="182" t="s">
        <v>14</v>
      </c>
      <c r="C208" s="303">
        <v>90</v>
      </c>
      <c r="D208" s="302">
        <v>4</v>
      </c>
      <c r="E208" s="12"/>
      <c r="F208" s="64"/>
    </row>
    <row r="209" spans="1:6">
      <c r="A209" s="210" t="s">
        <v>348</v>
      </c>
      <c r="B209" s="182" t="s">
        <v>349</v>
      </c>
      <c r="C209" s="327">
        <f>C207</f>
        <v>10272</v>
      </c>
      <c r="D209" s="328">
        <f>IFERROR(+D208/C208,"-")</f>
        <v>4.4444444444444446E-2</v>
      </c>
      <c r="E209" s="235">
        <f>IFERROR(C209*D209,"-")</f>
        <v>456.53333333333336</v>
      </c>
      <c r="F209" s="64"/>
    </row>
    <row r="210" spans="1:6">
      <c r="A210" s="206" t="s">
        <v>182</v>
      </c>
      <c r="B210" s="11" t="s">
        <v>17</v>
      </c>
      <c r="C210" s="299">
        <v>2.5</v>
      </c>
      <c r="D210" s="301">
        <v>17.45</v>
      </c>
      <c r="E210" s="12"/>
      <c r="F210" s="64"/>
    </row>
    <row r="211" spans="1:6">
      <c r="A211" s="206" t="s">
        <v>18</v>
      </c>
      <c r="B211" s="11" t="s">
        <v>16</v>
      </c>
      <c r="C211" s="50">
        <f>C207</f>
        <v>10272</v>
      </c>
      <c r="D211" s="154">
        <f>+C210*D210/1000</f>
        <v>4.3624999999999997E-2</v>
      </c>
      <c r="E211" s="12">
        <f>C211*D211</f>
        <v>448.11599999999999</v>
      </c>
      <c r="F211" s="64"/>
    </row>
    <row r="212" spans="1:6">
      <c r="A212" s="206" t="s">
        <v>183</v>
      </c>
      <c r="B212" s="11" t="s">
        <v>17</v>
      </c>
      <c r="C212" s="299">
        <v>0.3</v>
      </c>
      <c r="D212" s="301">
        <v>15.48</v>
      </c>
      <c r="E212" s="12"/>
      <c r="F212" s="64"/>
    </row>
    <row r="213" spans="1:6">
      <c r="A213" s="206" t="s">
        <v>19</v>
      </c>
      <c r="B213" s="11" t="s">
        <v>16</v>
      </c>
      <c r="C213" s="50">
        <f>C207</f>
        <v>10272</v>
      </c>
      <c r="D213" s="154">
        <f>+C212*D212/1000</f>
        <v>4.6440000000000006E-3</v>
      </c>
      <c r="E213" s="12">
        <f>C213*D213</f>
        <v>47.703168000000005</v>
      </c>
      <c r="F213" s="64"/>
    </row>
    <row r="214" spans="1:6">
      <c r="A214" s="206" t="s">
        <v>184</v>
      </c>
      <c r="B214" s="11" t="s">
        <v>17</v>
      </c>
      <c r="C214" s="299">
        <v>4</v>
      </c>
      <c r="D214" s="301">
        <v>13.2</v>
      </c>
      <c r="E214" s="12"/>
      <c r="F214" s="64"/>
    </row>
    <row r="215" spans="1:6">
      <c r="A215" s="206" t="s">
        <v>20</v>
      </c>
      <c r="B215" s="11" t="s">
        <v>16</v>
      </c>
      <c r="C215" s="50">
        <f>C207</f>
        <v>10272</v>
      </c>
      <c r="D215" s="154">
        <f>+C214*D214/1000</f>
        <v>5.28E-2</v>
      </c>
      <c r="E215" s="12">
        <f>C215*D215</f>
        <v>542.36159999999995</v>
      </c>
      <c r="F215" s="64"/>
    </row>
    <row r="216" spans="1:6">
      <c r="A216" s="206" t="s">
        <v>21</v>
      </c>
      <c r="B216" s="11" t="s">
        <v>22</v>
      </c>
      <c r="C216" s="299">
        <v>2</v>
      </c>
      <c r="D216" s="301">
        <v>12.25</v>
      </c>
      <c r="E216" s="12"/>
      <c r="F216" s="64"/>
    </row>
    <row r="217" spans="1:6">
      <c r="A217" s="206" t="s">
        <v>23</v>
      </c>
      <c r="B217" s="11" t="s">
        <v>16</v>
      </c>
      <c r="C217" s="50">
        <f>C207</f>
        <v>10272</v>
      </c>
      <c r="D217" s="154">
        <f>+C216*D216/1000</f>
        <v>2.4500000000000001E-2</v>
      </c>
      <c r="E217" s="12">
        <f>C217*D217</f>
        <v>251.66400000000002</v>
      </c>
      <c r="F217" s="64"/>
    </row>
    <row r="218" spans="1:6" ht="13.5" thickBot="1">
      <c r="A218" s="207" t="s">
        <v>193</v>
      </c>
      <c r="B218" s="52" t="s">
        <v>88</v>
      </c>
      <c r="C218" s="155"/>
      <c r="D218" s="156">
        <f>IFERROR(D207+D209+D211+D213+D215+D217,0)</f>
        <v>1.6990236833522945</v>
      </c>
      <c r="E218" s="12"/>
      <c r="F218" s="64"/>
    </row>
    <row r="219" spans="1:6" ht="13.5" thickBot="1">
      <c r="A219" s="195"/>
      <c r="B219" s="34"/>
      <c r="C219" s="34"/>
      <c r="D219" s="329"/>
      <c r="E219" s="36"/>
      <c r="F219" s="316">
        <f>SUM(E206:E217)</f>
        <v>17452.371275394769</v>
      </c>
    </row>
    <row r="220" spans="1:6" ht="11.25" customHeight="1">
      <c r="A220" s="195"/>
      <c r="B220" s="34"/>
      <c r="C220" s="34"/>
      <c r="D220" s="36"/>
      <c r="E220" s="36"/>
      <c r="F220" s="64"/>
    </row>
    <row r="221" spans="1:6" ht="13.5" thickBot="1">
      <c r="A221" s="199" t="s">
        <v>42</v>
      </c>
      <c r="B221" s="34"/>
      <c r="C221" s="34"/>
      <c r="D221" s="36"/>
      <c r="E221" s="36"/>
      <c r="F221" s="64"/>
    </row>
    <row r="222" spans="1:6" ht="13.5" thickBot="1">
      <c r="A222" s="311" t="s">
        <v>49</v>
      </c>
      <c r="B222" s="312" t="s">
        <v>50</v>
      </c>
      <c r="C222" s="312" t="s">
        <v>31</v>
      </c>
      <c r="D222" s="314" t="s">
        <v>181</v>
      </c>
      <c r="E222" s="314" t="s">
        <v>51</v>
      </c>
      <c r="F222" s="315" t="s">
        <v>52</v>
      </c>
    </row>
    <row r="223" spans="1:6">
      <c r="A223" s="212" t="s">
        <v>87</v>
      </c>
      <c r="B223" s="9" t="s">
        <v>88</v>
      </c>
      <c r="C223" s="50">
        <f>C207</f>
        <v>10272</v>
      </c>
      <c r="D223" s="288">
        <v>0.75</v>
      </c>
      <c r="E223" s="10">
        <f>C223*D223</f>
        <v>7704</v>
      </c>
      <c r="F223" s="64"/>
    </row>
    <row r="224" spans="1:6">
      <c r="A224" s="205" t="s">
        <v>241</v>
      </c>
      <c r="B224" s="183" t="s">
        <v>242</v>
      </c>
      <c r="C224" s="304">
        <f>4*E46</f>
        <v>8</v>
      </c>
      <c r="D224" s="288">
        <v>120</v>
      </c>
      <c r="E224" s="10">
        <f>C224*D224</f>
        <v>960</v>
      </c>
      <c r="F224" s="64"/>
    </row>
    <row r="225" spans="1:6" ht="13.5" thickBot="1">
      <c r="A225" s="205" t="s">
        <v>350</v>
      </c>
      <c r="B225" s="183" t="s">
        <v>242</v>
      </c>
      <c r="C225" s="304">
        <v>88</v>
      </c>
      <c r="D225" s="297">
        <v>31</v>
      </c>
      <c r="E225" s="232">
        <f>C225*D225</f>
        <v>2728</v>
      </c>
      <c r="F225" s="233"/>
    </row>
    <row r="226" spans="1:6" ht="13.5" thickBot="1">
      <c r="A226" s="271"/>
      <c r="B226" s="272"/>
      <c r="C226" s="272"/>
      <c r="D226" s="273"/>
      <c r="E226" s="273"/>
      <c r="F226" s="316">
        <f>SUM(E223:E225)</f>
        <v>11392</v>
      </c>
    </row>
    <row r="227" spans="1:6" ht="11.25" customHeight="1">
      <c r="A227" s="195"/>
      <c r="B227" s="34"/>
      <c r="C227" s="34"/>
      <c r="D227" s="36"/>
      <c r="E227" s="36"/>
      <c r="F227" s="64"/>
    </row>
    <row r="228" spans="1:6" ht="13.5" thickBot="1">
      <c r="A228" s="199" t="s">
        <v>48</v>
      </c>
      <c r="B228" s="34"/>
      <c r="C228" s="34"/>
      <c r="D228" s="36"/>
      <c r="E228" s="36"/>
      <c r="F228" s="64"/>
    </row>
    <row r="229" spans="1:6" ht="13.5" thickBot="1">
      <c r="A229" s="311" t="s">
        <v>49</v>
      </c>
      <c r="B229" s="312" t="s">
        <v>50</v>
      </c>
      <c r="C229" s="312" t="s">
        <v>31</v>
      </c>
      <c r="D229" s="314" t="s">
        <v>181</v>
      </c>
      <c r="E229" s="314" t="s">
        <v>51</v>
      </c>
      <c r="F229" s="315" t="s">
        <v>52</v>
      </c>
    </row>
    <row r="230" spans="1:6">
      <c r="A230" s="201" t="s">
        <v>287</v>
      </c>
      <c r="B230" s="9" t="s">
        <v>9</v>
      </c>
      <c r="C230" s="305">
        <f>6*E46</f>
        <v>12</v>
      </c>
      <c r="D230" s="297">
        <v>1924.9</v>
      </c>
      <c r="E230" s="10">
        <f>C230*D230</f>
        <v>23098.800000000003</v>
      </c>
      <c r="F230" s="64"/>
    </row>
    <row r="231" spans="1:6">
      <c r="A231" s="212" t="s">
        <v>89</v>
      </c>
      <c r="B231" s="9" t="s">
        <v>9</v>
      </c>
      <c r="C231" s="305">
        <v>2</v>
      </c>
      <c r="D231" s="253"/>
      <c r="E231" s="10"/>
      <c r="F231" s="64"/>
    </row>
    <row r="232" spans="1:6">
      <c r="A232" s="212" t="s">
        <v>53</v>
      </c>
      <c r="B232" s="9" t="s">
        <v>9</v>
      </c>
      <c r="C232" s="10">
        <f>C230*C231</f>
        <v>24</v>
      </c>
      <c r="D232" s="297">
        <v>407.52</v>
      </c>
      <c r="E232" s="10">
        <f>C232*D232</f>
        <v>9780.48</v>
      </c>
      <c r="F232" s="64"/>
    </row>
    <row r="233" spans="1:6">
      <c r="A233" s="335" t="s">
        <v>359</v>
      </c>
      <c r="B233" s="11" t="s">
        <v>24</v>
      </c>
      <c r="C233" s="306">
        <v>140000</v>
      </c>
      <c r="D233" s="12">
        <f>E230+E232</f>
        <v>32879.279999999999</v>
      </c>
      <c r="E233" s="12">
        <f>IFERROR(D233/C233,"-")</f>
        <v>0.23485200000000001</v>
      </c>
      <c r="F233" s="64"/>
    </row>
    <row r="234" spans="1:6" ht="13.5" thickBot="1">
      <c r="A234" s="206" t="s">
        <v>44</v>
      </c>
      <c r="B234" s="11" t="s">
        <v>16</v>
      </c>
      <c r="C234" s="50">
        <f>B204</f>
        <v>10272</v>
      </c>
      <c r="D234" s="12">
        <f>E233</f>
        <v>0.23485200000000001</v>
      </c>
      <c r="E234" s="12">
        <f>IFERROR(C234*D234,0)</f>
        <v>2412.3997439999998</v>
      </c>
      <c r="F234" s="64"/>
    </row>
    <row r="235" spans="1:6" ht="13.5" thickBot="1">
      <c r="A235" s="195"/>
      <c r="B235" s="34"/>
      <c r="C235" s="34"/>
      <c r="D235" s="36"/>
      <c r="E235" s="36"/>
      <c r="F235" s="316">
        <f>E234</f>
        <v>2412.3997439999998</v>
      </c>
    </row>
    <row r="236" spans="1:6" ht="11.25" customHeight="1">
      <c r="A236" s="195"/>
      <c r="B236" s="34"/>
      <c r="C236" s="34"/>
      <c r="D236" s="36"/>
      <c r="E236" s="36"/>
      <c r="F236" s="64"/>
    </row>
    <row r="237" spans="1:6">
      <c r="A237" s="200" t="s">
        <v>275</v>
      </c>
      <c r="B237" s="34"/>
      <c r="C237" s="34"/>
      <c r="D237" s="36"/>
      <c r="E237" s="36"/>
      <c r="F237" s="64"/>
    </row>
    <row r="238" spans="1:6" ht="13.5" thickBot="1">
      <c r="A238" s="223" t="s">
        <v>228</v>
      </c>
      <c r="B238" s="34"/>
      <c r="C238" s="34"/>
      <c r="D238" s="36"/>
      <c r="E238" s="36"/>
      <c r="F238" s="64"/>
    </row>
    <row r="239" spans="1:6" ht="13.5" thickBot="1">
      <c r="A239" s="311" t="s">
        <v>49</v>
      </c>
      <c r="B239" s="312" t="s">
        <v>50</v>
      </c>
      <c r="C239" s="312" t="s">
        <v>31</v>
      </c>
      <c r="D239" s="314" t="s">
        <v>181</v>
      </c>
      <c r="E239" s="314" t="s">
        <v>51</v>
      </c>
      <c r="F239" s="315" t="s">
        <v>52</v>
      </c>
    </row>
    <row r="240" spans="1:6">
      <c r="A240" s="201" t="s">
        <v>262</v>
      </c>
      <c r="B240" s="9" t="s">
        <v>9</v>
      </c>
      <c r="C240" s="159">
        <v>1</v>
      </c>
      <c r="D240" s="288">
        <v>46693</v>
      </c>
      <c r="E240" s="10">
        <f>C240*D240</f>
        <v>46693</v>
      </c>
      <c r="F240" s="64"/>
    </row>
    <row r="241" spans="1:6">
      <c r="A241" s="217" t="s">
        <v>254</v>
      </c>
      <c r="B241" s="11" t="s">
        <v>77</v>
      </c>
      <c r="C241" s="290">
        <v>5</v>
      </c>
      <c r="D241" s="49"/>
      <c r="E241" s="12"/>
      <c r="F241" s="64"/>
    </row>
    <row r="242" spans="1:6">
      <c r="A242" s="202" t="s">
        <v>162</v>
      </c>
      <c r="B242" s="11" t="s">
        <v>77</v>
      </c>
      <c r="C242" s="290">
        <v>0</v>
      </c>
      <c r="D242" s="12"/>
      <c r="E242" s="12"/>
      <c r="F242" s="214"/>
    </row>
    <row r="243" spans="1:6">
      <c r="A243" s="217" t="s">
        <v>255</v>
      </c>
      <c r="B243" s="11" t="s">
        <v>2</v>
      </c>
      <c r="C243" s="67">
        <f>IFERROR(VLOOKUP(C241,'5. Depreciação'!A$3:B$17,2,FALSE),0)</f>
        <v>55</v>
      </c>
      <c r="D243" s="12">
        <f>E240</f>
        <v>46693</v>
      </c>
      <c r="E243" s="12">
        <f>C243*D243/100</f>
        <v>25681.15</v>
      </c>
      <c r="F243" s="64"/>
    </row>
    <row r="244" spans="1:6" ht="13.5" thickBot="1">
      <c r="A244" s="225" t="s">
        <v>256</v>
      </c>
      <c r="B244" s="162" t="s">
        <v>7</v>
      </c>
      <c r="C244" s="162">
        <f>C241*12</f>
        <v>60</v>
      </c>
      <c r="D244" s="163">
        <f>IF(C242&lt;=C241,E243,0)</f>
        <v>25681.15</v>
      </c>
      <c r="E244" s="163">
        <f>IFERROR(D244/C244,0)</f>
        <v>428.01916666666671</v>
      </c>
      <c r="F244" s="64"/>
    </row>
    <row r="245" spans="1:6" ht="13.5" thickTop="1">
      <c r="A245" s="226" t="s">
        <v>237</v>
      </c>
      <c r="B245" s="152"/>
      <c r="C245" s="152"/>
      <c r="D245" s="153"/>
      <c r="E245" s="53">
        <f>E244</f>
        <v>428.01916666666671</v>
      </c>
      <c r="F245" s="64"/>
    </row>
    <row r="246" spans="1:6" ht="13.5" thickBot="1">
      <c r="A246" s="218" t="s">
        <v>195</v>
      </c>
      <c r="B246" s="52" t="s">
        <v>9</v>
      </c>
      <c r="C246" s="160">
        <f>E47</f>
        <v>1</v>
      </c>
      <c r="D246" s="53">
        <f>E245</f>
        <v>428.01916666666671</v>
      </c>
      <c r="E246" s="56">
        <f>C246*D246</f>
        <v>428.01916666666671</v>
      </c>
      <c r="F246" s="64"/>
    </row>
    <row r="247" spans="1:6" ht="13.5" thickBot="1">
      <c r="A247" s="219"/>
      <c r="B247" s="158"/>
      <c r="C247" s="158"/>
      <c r="D247" s="191" t="s">
        <v>155</v>
      </c>
      <c r="E247" s="231">
        <f>B$51</f>
        <v>1</v>
      </c>
      <c r="F247" s="316">
        <f>E246*E247</f>
        <v>428.01916666666671</v>
      </c>
    </row>
    <row r="248" spans="1:6" ht="11.25" customHeight="1">
      <c r="A248" s="195"/>
      <c r="B248" s="34"/>
      <c r="C248" s="34"/>
      <c r="D248" s="36"/>
      <c r="E248" s="36"/>
      <c r="F248" s="64"/>
    </row>
    <row r="249" spans="1:6" ht="13.5" thickBot="1">
      <c r="A249" s="223" t="s">
        <v>229</v>
      </c>
      <c r="B249" s="34"/>
      <c r="C249" s="34"/>
      <c r="D249" s="36"/>
      <c r="E249" s="36"/>
      <c r="F249" s="64"/>
    </row>
    <row r="250" spans="1:6" ht="13.5" thickBot="1">
      <c r="A250" s="311" t="s">
        <v>49</v>
      </c>
      <c r="B250" s="312" t="s">
        <v>50</v>
      </c>
      <c r="C250" s="312" t="s">
        <v>31</v>
      </c>
      <c r="D250" s="314" t="s">
        <v>181</v>
      </c>
      <c r="E250" s="321" t="s">
        <v>51</v>
      </c>
      <c r="F250" s="322" t="s">
        <v>52</v>
      </c>
    </row>
    <row r="251" spans="1:6">
      <c r="A251" s="201" t="s">
        <v>263</v>
      </c>
      <c r="B251" s="9" t="s">
        <v>9</v>
      </c>
      <c r="C251" s="159">
        <v>1</v>
      </c>
      <c r="D251" s="10">
        <f>D240</f>
        <v>46693</v>
      </c>
      <c r="E251" s="10">
        <f>C251*D251</f>
        <v>46693</v>
      </c>
      <c r="F251" s="214"/>
    </row>
    <row r="252" spans="1:6">
      <c r="A252" s="202" t="s">
        <v>164</v>
      </c>
      <c r="B252" s="11" t="s">
        <v>2</v>
      </c>
      <c r="C252" s="160">
        <f>C$183</f>
        <v>4.25</v>
      </c>
      <c r="D252" s="12"/>
      <c r="E252" s="12"/>
      <c r="F252" s="214"/>
    </row>
    <row r="253" spans="1:6">
      <c r="A253" s="202" t="s">
        <v>163</v>
      </c>
      <c r="B253" s="11" t="s">
        <v>25</v>
      </c>
      <c r="C253" s="70">
        <f>IFERROR(IF(C242&lt;=C241,E240-(C243/(100*C241)*C242)*E240,E240-E243),0)</f>
        <v>46693</v>
      </c>
      <c r="D253" s="12"/>
      <c r="E253" s="12"/>
      <c r="F253" s="214"/>
    </row>
    <row r="254" spans="1:6">
      <c r="A254" s="217" t="s">
        <v>264</v>
      </c>
      <c r="B254" s="11" t="s">
        <v>25</v>
      </c>
      <c r="C254" s="49">
        <f>IFERROR(IF(C242&gt;=C241,C253,((((C253)-(E240-E243))*(((C241-C242)+1)/(2*(C241-C242))))+(E240-E243))),0)</f>
        <v>36420.54</v>
      </c>
      <c r="D254" s="12"/>
      <c r="E254" s="12"/>
      <c r="F254" s="214"/>
    </row>
    <row r="255" spans="1:6" ht="13.5" thickBot="1">
      <c r="A255" s="225" t="s">
        <v>86</v>
      </c>
      <c r="B255" s="162" t="s">
        <v>25</v>
      </c>
      <c r="C255" s="162"/>
      <c r="D255" s="164">
        <f>C252*C254/12/100</f>
        <v>128.98941250000001</v>
      </c>
      <c r="E255" s="163">
        <f>D255</f>
        <v>128.98941250000001</v>
      </c>
      <c r="F255" s="214"/>
    </row>
    <row r="256" spans="1:6" ht="13.5" thickTop="1">
      <c r="A256" s="203" t="s">
        <v>265</v>
      </c>
      <c r="B256" s="190"/>
      <c r="C256" s="190"/>
      <c r="D256" s="20"/>
      <c r="E256" s="56">
        <f>E255</f>
        <v>128.98941250000001</v>
      </c>
      <c r="F256" s="214"/>
    </row>
    <row r="257" spans="1:6" ht="13.5" thickBot="1">
      <c r="A257" s="218" t="s">
        <v>195</v>
      </c>
      <c r="B257" s="52" t="s">
        <v>9</v>
      </c>
      <c r="C257" s="160">
        <f>C246</f>
        <v>1</v>
      </c>
      <c r="D257" s="53">
        <f>E256</f>
        <v>128.98941250000001</v>
      </c>
      <c r="E257" s="56">
        <f>C257*D257</f>
        <v>128.98941250000001</v>
      </c>
      <c r="F257" s="214"/>
    </row>
    <row r="258" spans="1:6" ht="13.5" thickBot="1">
      <c r="A258" s="195"/>
      <c r="B258" s="34"/>
      <c r="C258" s="193"/>
      <c r="D258" s="191" t="s">
        <v>155</v>
      </c>
      <c r="E258" s="231">
        <f>B$51</f>
        <v>1</v>
      </c>
      <c r="F258" s="316">
        <f>E257*E258</f>
        <v>128.98941250000001</v>
      </c>
    </row>
    <row r="259" spans="1:6" ht="11.25" customHeight="1">
      <c r="A259" s="195"/>
      <c r="B259" s="34"/>
      <c r="C259" s="34"/>
      <c r="D259" s="36"/>
      <c r="E259" s="36"/>
      <c r="F259" s="64"/>
    </row>
    <row r="260" spans="1:6" ht="13.5" thickBot="1">
      <c r="A260" s="200" t="s">
        <v>230</v>
      </c>
      <c r="B260" s="34"/>
      <c r="C260" s="34"/>
      <c r="D260" s="36"/>
      <c r="E260" s="36"/>
      <c r="F260" s="64"/>
    </row>
    <row r="261" spans="1:6" ht="13.5" thickBot="1">
      <c r="A261" s="311" t="s">
        <v>49</v>
      </c>
      <c r="B261" s="312" t="s">
        <v>50</v>
      </c>
      <c r="C261" s="312" t="s">
        <v>31</v>
      </c>
      <c r="D261" s="314" t="s">
        <v>181</v>
      </c>
      <c r="E261" s="314" t="s">
        <v>51</v>
      </c>
      <c r="F261" s="315" t="s">
        <v>52</v>
      </c>
    </row>
    <row r="262" spans="1:6">
      <c r="A262" s="224" t="s">
        <v>10</v>
      </c>
      <c r="B262" s="9" t="s">
        <v>9</v>
      </c>
      <c r="C262" s="10">
        <f>C246</f>
        <v>1</v>
      </c>
      <c r="D262" s="297">
        <v>1850</v>
      </c>
      <c r="E262" s="10">
        <f>C262*D262</f>
        <v>1850</v>
      </c>
      <c r="F262" s="64"/>
    </row>
    <row r="263" spans="1:6">
      <c r="A263" s="217" t="s">
        <v>347</v>
      </c>
      <c r="B263" s="11" t="s">
        <v>9</v>
      </c>
      <c r="C263" s="10">
        <f>C246</f>
        <v>1</v>
      </c>
      <c r="D263" s="326">
        <v>66.7</v>
      </c>
      <c r="E263" s="12">
        <f>C263*D263</f>
        <v>66.7</v>
      </c>
      <c r="F263" s="64"/>
    </row>
    <row r="264" spans="1:6">
      <c r="A264" s="202" t="s">
        <v>11</v>
      </c>
      <c r="B264" s="11" t="s">
        <v>9</v>
      </c>
      <c r="C264" s="10">
        <f>C246</f>
        <v>1</v>
      </c>
      <c r="D264" s="326">
        <v>1200</v>
      </c>
      <c r="E264" s="12">
        <f>C264*D264</f>
        <v>1200</v>
      </c>
      <c r="F264" s="222"/>
    </row>
    <row r="265" spans="1:6" ht="13.5" thickBot="1">
      <c r="A265" s="218" t="s">
        <v>12</v>
      </c>
      <c r="B265" s="52" t="s">
        <v>7</v>
      </c>
      <c r="C265" s="52">
        <v>12</v>
      </c>
      <c r="D265" s="53">
        <f>SUM(E262:E264)</f>
        <v>3116.7</v>
      </c>
      <c r="E265" s="53">
        <f>D265/C265</f>
        <v>259.72499999999997</v>
      </c>
      <c r="F265" s="64"/>
    </row>
    <row r="266" spans="1:6" ht="13.5" thickBot="1">
      <c r="A266" s="195"/>
      <c r="B266" s="34"/>
      <c r="C266" s="34"/>
      <c r="D266" s="191" t="s">
        <v>155</v>
      </c>
      <c r="E266" s="231">
        <f>B$51</f>
        <v>1</v>
      </c>
      <c r="F266" s="320">
        <f>E265*E266</f>
        <v>259.72499999999997</v>
      </c>
    </row>
    <row r="267" spans="1:6" ht="11.25" customHeight="1">
      <c r="A267" s="195"/>
      <c r="B267" s="34"/>
      <c r="C267" s="34"/>
      <c r="D267" s="36"/>
      <c r="E267" s="36"/>
      <c r="F267" s="64"/>
    </row>
    <row r="268" spans="1:6">
      <c r="A268" s="200" t="s">
        <v>231</v>
      </c>
      <c r="B268" s="194"/>
      <c r="C268" s="34"/>
      <c r="D268" s="36"/>
      <c r="E268" s="36"/>
      <c r="F268" s="64"/>
    </row>
    <row r="269" spans="1:6" ht="13.5" thickBot="1">
      <c r="A269" s="218" t="s">
        <v>243</v>
      </c>
      <c r="B269" s="300">
        <v>500</v>
      </c>
      <c r="C269" s="34"/>
      <c r="D269" s="36"/>
      <c r="E269" s="36"/>
      <c r="F269" s="64"/>
    </row>
    <row r="270" spans="1:6" ht="13.5" thickBot="1">
      <c r="A270" s="311" t="s">
        <v>49</v>
      </c>
      <c r="B270" s="312" t="s">
        <v>50</v>
      </c>
      <c r="C270" s="312" t="s">
        <v>194</v>
      </c>
      <c r="D270" s="314" t="s">
        <v>181</v>
      </c>
      <c r="E270" s="314" t="s">
        <v>51</v>
      </c>
      <c r="F270" s="315" t="s">
        <v>52</v>
      </c>
    </row>
    <row r="271" spans="1:6">
      <c r="A271" s="201" t="s">
        <v>257</v>
      </c>
      <c r="B271" s="9" t="s">
        <v>14</v>
      </c>
      <c r="C271" s="303">
        <v>10</v>
      </c>
      <c r="D271" s="302">
        <v>5.78</v>
      </c>
      <c r="E271" s="10"/>
      <c r="F271" s="64"/>
    </row>
    <row r="272" spans="1:6">
      <c r="A272" s="217" t="s">
        <v>258</v>
      </c>
      <c r="B272" s="11" t="s">
        <v>16</v>
      </c>
      <c r="C272" s="50">
        <f>B269</f>
        <v>500</v>
      </c>
      <c r="D272" s="157">
        <f>IFERROR(+D271/C271,"-")</f>
        <v>0.57800000000000007</v>
      </c>
      <c r="E272" s="12">
        <f>IFERROR(C272*D272,"-")</f>
        <v>289.00000000000006</v>
      </c>
      <c r="F272" s="64"/>
    </row>
    <row r="273" spans="1:6">
      <c r="A273" s="217" t="s">
        <v>313</v>
      </c>
      <c r="B273" s="182" t="s">
        <v>259</v>
      </c>
      <c r="C273" s="299">
        <v>4</v>
      </c>
      <c r="D273" s="301">
        <v>28.26</v>
      </c>
      <c r="E273" s="12"/>
      <c r="F273" s="64"/>
    </row>
    <row r="274" spans="1:6">
      <c r="A274" s="202" t="s">
        <v>18</v>
      </c>
      <c r="B274" s="11" t="s">
        <v>16</v>
      </c>
      <c r="C274" s="50">
        <f>C272</f>
        <v>500</v>
      </c>
      <c r="D274" s="154">
        <f>+C273*D273/5000</f>
        <v>2.2608E-2</v>
      </c>
      <c r="E274" s="12">
        <f>C274*D274</f>
        <v>11.304</v>
      </c>
      <c r="F274" s="64"/>
    </row>
    <row r="275" spans="1:6">
      <c r="A275" s="217" t="s">
        <v>260</v>
      </c>
      <c r="B275" s="182" t="s">
        <v>259</v>
      </c>
      <c r="C275" s="299">
        <v>1</v>
      </c>
      <c r="D275" s="301">
        <v>25</v>
      </c>
      <c r="E275" s="12"/>
      <c r="F275" s="64"/>
    </row>
    <row r="276" spans="1:6">
      <c r="A276" s="217" t="s">
        <v>261</v>
      </c>
      <c r="B276" s="11" t="s">
        <v>16</v>
      </c>
      <c r="C276" s="50">
        <f>C272</f>
        <v>500</v>
      </c>
      <c r="D276" s="154">
        <f>+C275*D275/5000</f>
        <v>5.0000000000000001E-3</v>
      </c>
      <c r="E276" s="12">
        <f>C276*D276</f>
        <v>2.5</v>
      </c>
      <c r="F276" s="64"/>
    </row>
    <row r="277" spans="1:6" ht="13.5" thickBot="1">
      <c r="A277" s="218" t="s">
        <v>193</v>
      </c>
      <c r="B277" s="52" t="s">
        <v>88</v>
      </c>
      <c r="C277" s="155"/>
      <c r="D277" s="156">
        <f>IFERROR(D272+D274+D276,0)</f>
        <v>0.60560800000000004</v>
      </c>
      <c r="E277" s="12"/>
      <c r="F277" s="64"/>
    </row>
    <row r="278" spans="1:6" ht="13.5" thickBot="1">
      <c r="A278" s="195"/>
      <c r="B278" s="34"/>
      <c r="C278" s="34"/>
      <c r="D278" s="191" t="s">
        <v>155</v>
      </c>
      <c r="E278" s="231">
        <f>B$51</f>
        <v>1</v>
      </c>
      <c r="F278" s="316">
        <f>SUM(E271:E276)*E278</f>
        <v>302.80400000000003</v>
      </c>
    </row>
    <row r="279" spans="1:6" ht="11.25" customHeight="1">
      <c r="A279" s="195"/>
      <c r="B279" s="34"/>
      <c r="C279" s="34"/>
      <c r="D279" s="36"/>
      <c r="E279" s="36"/>
      <c r="F279" s="64"/>
    </row>
    <row r="280" spans="1:6" ht="13.5" thickBot="1">
      <c r="A280" s="200" t="s">
        <v>232</v>
      </c>
      <c r="B280" s="34"/>
      <c r="C280" s="34"/>
      <c r="D280" s="36"/>
      <c r="E280" s="36"/>
      <c r="F280" s="64"/>
    </row>
    <row r="281" spans="1:6" ht="13.5" thickBot="1">
      <c r="A281" s="311" t="s">
        <v>49</v>
      </c>
      <c r="B281" s="312" t="s">
        <v>50</v>
      </c>
      <c r="C281" s="312" t="s">
        <v>31</v>
      </c>
      <c r="D281" s="314" t="s">
        <v>181</v>
      </c>
      <c r="E281" s="314" t="s">
        <v>51</v>
      </c>
      <c r="F281" s="315" t="s">
        <v>52</v>
      </c>
    </row>
    <row r="282" spans="1:6">
      <c r="A282" s="201" t="s">
        <v>236</v>
      </c>
      <c r="B282" s="9" t="s">
        <v>88</v>
      </c>
      <c r="C282" s="50">
        <f>C272</f>
        <v>500</v>
      </c>
      <c r="D282" s="288">
        <v>0.35</v>
      </c>
      <c r="E282" s="10">
        <f>C282*D282</f>
        <v>175</v>
      </c>
      <c r="F282" s="64"/>
    </row>
    <row r="283" spans="1:6" ht="13.5" thickBot="1">
      <c r="A283" s="205" t="s">
        <v>241</v>
      </c>
      <c r="B283" s="183" t="s">
        <v>242</v>
      </c>
      <c r="C283" s="304">
        <v>4</v>
      </c>
      <c r="D283" s="288">
        <v>35</v>
      </c>
      <c r="E283" s="10">
        <f>C283*D283</f>
        <v>140</v>
      </c>
      <c r="F283" s="64"/>
    </row>
    <row r="284" spans="1:6" ht="13.5" thickBot="1">
      <c r="A284" s="195"/>
      <c r="B284" s="34"/>
      <c r="C284" s="34"/>
      <c r="D284" s="191" t="s">
        <v>155</v>
      </c>
      <c r="E284" s="231">
        <f>B$51</f>
        <v>1</v>
      </c>
      <c r="F284" s="316">
        <f>SUM(E282:E283)*E284</f>
        <v>315</v>
      </c>
    </row>
    <row r="285" spans="1:6" ht="11.25" customHeight="1">
      <c r="A285" s="195"/>
      <c r="B285" s="34"/>
      <c r="C285" s="34"/>
      <c r="D285" s="36"/>
      <c r="E285" s="36"/>
      <c r="F285" s="64"/>
    </row>
    <row r="286" spans="1:6" ht="13.5" thickBot="1">
      <c r="A286" s="200" t="s">
        <v>233</v>
      </c>
      <c r="B286" s="34"/>
      <c r="C286" s="34"/>
      <c r="D286" s="36"/>
      <c r="E286" s="36"/>
      <c r="F286" s="64"/>
    </row>
    <row r="287" spans="1:6" ht="13.5" thickBot="1">
      <c r="A287" s="311" t="s">
        <v>49</v>
      </c>
      <c r="B287" s="312" t="s">
        <v>50</v>
      </c>
      <c r="C287" s="312" t="s">
        <v>31</v>
      </c>
      <c r="D287" s="314" t="s">
        <v>181</v>
      </c>
      <c r="E287" s="314" t="s">
        <v>51</v>
      </c>
      <c r="F287" s="315" t="s">
        <v>52</v>
      </c>
    </row>
    <row r="288" spans="1:6">
      <c r="A288" s="201" t="s">
        <v>285</v>
      </c>
      <c r="B288" s="9" t="s">
        <v>9</v>
      </c>
      <c r="C288" s="305">
        <v>4</v>
      </c>
      <c r="D288" s="288">
        <v>414</v>
      </c>
      <c r="E288" s="10">
        <f>C288*D288</f>
        <v>1656</v>
      </c>
      <c r="F288" s="64"/>
    </row>
    <row r="289" spans="1:6">
      <c r="A289" s="217" t="s">
        <v>286</v>
      </c>
      <c r="B289" s="11" t="s">
        <v>24</v>
      </c>
      <c r="C289" s="306">
        <v>40000</v>
      </c>
      <c r="D289" s="12">
        <f>E288</f>
        <v>1656</v>
      </c>
      <c r="E289" s="12">
        <f>IFERROR(D289/C289,"-")</f>
        <v>4.1399999999999999E-2</v>
      </c>
      <c r="F289" s="64"/>
    </row>
    <row r="290" spans="1:6" ht="13.5" thickBot="1">
      <c r="A290" s="202" t="s">
        <v>44</v>
      </c>
      <c r="B290" s="11" t="s">
        <v>16</v>
      </c>
      <c r="C290" s="50">
        <f>B269</f>
        <v>500</v>
      </c>
      <c r="D290" s="12">
        <f>E289</f>
        <v>4.1399999999999999E-2</v>
      </c>
      <c r="E290" s="12">
        <f>IFERROR(C290*D290,0)</f>
        <v>20.7</v>
      </c>
      <c r="F290" s="64"/>
    </row>
    <row r="291" spans="1:6" ht="13.5" thickBot="1">
      <c r="A291" s="195"/>
      <c r="B291" s="34"/>
      <c r="C291" s="34"/>
      <c r="D291" s="191" t="s">
        <v>155</v>
      </c>
      <c r="E291" s="231">
        <f>B$51</f>
        <v>1</v>
      </c>
      <c r="F291" s="316">
        <f>E290*E291</f>
        <v>20.7</v>
      </c>
    </row>
    <row r="292" spans="1:6" ht="11.25" customHeight="1">
      <c r="A292" s="195"/>
      <c r="B292" s="34"/>
      <c r="C292" s="34"/>
      <c r="D292" s="36"/>
      <c r="E292" s="36"/>
      <c r="F292" s="64"/>
    </row>
    <row r="293" spans="1:6" ht="11.25" customHeight="1" thickBot="1">
      <c r="A293" s="195"/>
      <c r="B293" s="34"/>
      <c r="C293" s="34"/>
      <c r="D293" s="36"/>
      <c r="E293" s="36"/>
      <c r="F293" s="64"/>
    </row>
    <row r="294" spans="1:6" ht="13.5" thickBot="1">
      <c r="A294" s="13" t="s">
        <v>172</v>
      </c>
      <c r="B294" s="14"/>
      <c r="C294" s="14"/>
      <c r="D294" s="15"/>
      <c r="E294" s="16"/>
      <c r="F294" s="316">
        <f>+SUM(F167:F293)</f>
        <v>40787.071931894759</v>
      </c>
    </row>
    <row r="295" spans="1:6" ht="11.25" customHeight="1">
      <c r="A295" s="195"/>
      <c r="B295" s="34"/>
      <c r="C295" s="34"/>
      <c r="D295" s="36"/>
      <c r="E295" s="36"/>
      <c r="F295" s="64"/>
    </row>
    <row r="296" spans="1:6">
      <c r="A296" s="199" t="s">
        <v>55</v>
      </c>
      <c r="B296" s="21"/>
      <c r="C296" s="21"/>
      <c r="D296" s="22"/>
      <c r="E296" s="22"/>
      <c r="F296" s="227"/>
    </row>
    <row r="297" spans="1:6" ht="11.25" customHeight="1" thickBot="1">
      <c r="A297" s="195"/>
      <c r="B297" s="34"/>
      <c r="C297" s="34"/>
      <c r="D297" s="36"/>
      <c r="E297" s="36"/>
      <c r="F297" s="64"/>
    </row>
    <row r="298" spans="1:6" ht="13.5" thickBot="1">
      <c r="A298" s="311" t="s">
        <v>49</v>
      </c>
      <c r="B298" s="312" t="s">
        <v>50</v>
      </c>
      <c r="C298" s="312" t="s">
        <v>31</v>
      </c>
      <c r="D298" s="314" t="s">
        <v>181</v>
      </c>
      <c r="E298" s="314" t="s">
        <v>51</v>
      </c>
      <c r="F298" s="315" t="s">
        <v>52</v>
      </c>
    </row>
    <row r="299" spans="1:6">
      <c r="A299" s="210" t="s">
        <v>244</v>
      </c>
      <c r="B299" s="182" t="s">
        <v>248</v>
      </c>
      <c r="C299" s="307">
        <f>2/12</f>
        <v>0.16666666666666666</v>
      </c>
      <c r="D299" s="297">
        <v>33.29</v>
      </c>
      <c r="E299" s="12">
        <f>C299*D299</f>
        <v>5.5483333333333329</v>
      </c>
      <c r="F299" s="228"/>
    </row>
    <row r="300" spans="1:6">
      <c r="A300" s="210" t="s">
        <v>245</v>
      </c>
      <c r="B300" s="182" t="s">
        <v>248</v>
      </c>
      <c r="C300" s="307">
        <f>2/12</f>
        <v>0.16666666666666666</v>
      </c>
      <c r="D300" s="297">
        <v>35.9</v>
      </c>
      <c r="E300" s="12">
        <f>C300*D300</f>
        <v>5.9833333333333325</v>
      </c>
      <c r="F300" s="228"/>
    </row>
    <row r="301" spans="1:6">
      <c r="A301" s="210" t="s">
        <v>250</v>
      </c>
      <c r="B301" s="182" t="s">
        <v>248</v>
      </c>
      <c r="C301" s="307">
        <f>8/12</f>
        <v>0.66666666666666663</v>
      </c>
      <c r="D301" s="297">
        <v>17.100000000000001</v>
      </c>
      <c r="E301" s="12">
        <f>C301*D301</f>
        <v>11.4</v>
      </c>
      <c r="F301" s="228"/>
    </row>
    <row r="302" spans="1:6">
      <c r="A302" s="210" t="s">
        <v>246</v>
      </c>
      <c r="B302" s="182" t="s">
        <v>248</v>
      </c>
      <c r="C302" s="307">
        <f>4/12</f>
        <v>0.33333333333333331</v>
      </c>
      <c r="D302" s="297">
        <v>18.28</v>
      </c>
      <c r="E302" s="12">
        <f>C302*D302</f>
        <v>6.0933333333333337</v>
      </c>
      <c r="F302" s="228"/>
    </row>
    <row r="303" spans="1:6">
      <c r="A303" s="210" t="s">
        <v>249</v>
      </c>
      <c r="B303" s="182" t="s">
        <v>248</v>
      </c>
      <c r="C303" s="307">
        <f>4/12</f>
        <v>0.33333333333333331</v>
      </c>
      <c r="D303" s="297">
        <v>17.899999999999999</v>
      </c>
      <c r="E303" s="12">
        <f t="shared" ref="E303:E304" si="10">C303*D303</f>
        <v>5.9666666666666659</v>
      </c>
      <c r="F303" s="228"/>
    </row>
    <row r="304" spans="1:6" ht="13.5" thickBot="1">
      <c r="A304" s="210" t="s">
        <v>247</v>
      </c>
      <c r="B304" s="182" t="s">
        <v>248</v>
      </c>
      <c r="C304" s="307">
        <f>4/12</f>
        <v>0.33333333333333331</v>
      </c>
      <c r="D304" s="297">
        <v>17.010000000000002</v>
      </c>
      <c r="E304" s="12">
        <f t="shared" si="10"/>
        <v>5.67</v>
      </c>
      <c r="F304" s="228"/>
    </row>
    <row r="305" spans="1:6" ht="13.5" thickBot="1">
      <c r="A305" s="199"/>
      <c r="B305" s="21"/>
      <c r="C305" s="21"/>
      <c r="D305" s="21"/>
      <c r="E305" s="22"/>
      <c r="F305" s="316">
        <f>SUM(E299:E304)</f>
        <v>40.661666666666669</v>
      </c>
    </row>
    <row r="306" spans="1:6" ht="11.25" customHeight="1" thickBot="1">
      <c r="A306" s="195"/>
      <c r="B306" s="34"/>
      <c r="C306" s="34"/>
      <c r="D306" s="36"/>
      <c r="E306" s="36"/>
      <c r="F306" s="64"/>
    </row>
    <row r="307" spans="1:6" ht="13.5" thickBot="1">
      <c r="A307" s="13" t="s">
        <v>173</v>
      </c>
      <c r="B307" s="14"/>
      <c r="C307" s="14"/>
      <c r="D307" s="15"/>
      <c r="E307" s="16"/>
      <c r="F307" s="316">
        <f>+F305</f>
        <v>40.661666666666669</v>
      </c>
    </row>
    <row r="308" spans="1:6" ht="11.25" customHeight="1">
      <c r="A308" s="195"/>
      <c r="B308" s="34"/>
      <c r="C308" s="34"/>
      <c r="D308" s="36"/>
      <c r="E308" s="36"/>
      <c r="F308" s="64"/>
    </row>
    <row r="309" spans="1:6">
      <c r="A309" s="199" t="s">
        <v>56</v>
      </c>
      <c r="B309" s="21"/>
      <c r="C309" s="21"/>
      <c r="D309" s="22"/>
      <c r="E309" s="22"/>
      <c r="F309" s="227"/>
    </row>
    <row r="310" spans="1:6" ht="11.25" customHeight="1" thickBot="1">
      <c r="A310" s="199" t="s">
        <v>276</v>
      </c>
      <c r="B310" s="34"/>
      <c r="C310" s="34"/>
      <c r="D310" s="36"/>
      <c r="E310" s="36"/>
      <c r="F310" s="64"/>
    </row>
    <row r="311" spans="1:6" ht="13.5" thickBot="1">
      <c r="A311" s="311" t="s">
        <v>49</v>
      </c>
      <c r="B311" s="312" t="s">
        <v>50</v>
      </c>
      <c r="C311" s="312" t="s">
        <v>31</v>
      </c>
      <c r="D311" s="314" t="s">
        <v>181</v>
      </c>
      <c r="E311" s="314" t="s">
        <v>51</v>
      </c>
      <c r="F311" s="315" t="s">
        <v>52</v>
      </c>
    </row>
    <row r="312" spans="1:6">
      <c r="A312" s="206" t="s">
        <v>170</v>
      </c>
      <c r="B312" s="33" t="s">
        <v>9</v>
      </c>
      <c r="C312" s="41">
        <f>E46</f>
        <v>2</v>
      </c>
      <c r="D312" s="301">
        <v>130</v>
      </c>
      <c r="E312" s="12">
        <f>+D312*C312</f>
        <v>260</v>
      </c>
      <c r="F312" s="228"/>
    </row>
    <row r="313" spans="1:6">
      <c r="A313" s="206" t="s">
        <v>47</v>
      </c>
      <c r="B313" s="33" t="s">
        <v>7</v>
      </c>
      <c r="C313" s="76">
        <v>12</v>
      </c>
      <c r="D313" s="47">
        <f>SUM(E312:E312)</f>
        <v>260</v>
      </c>
      <c r="E313" s="47">
        <f>+D313/C313</f>
        <v>21.666666666666668</v>
      </c>
      <c r="F313" s="228"/>
    </row>
    <row r="314" spans="1:6">
      <c r="A314" s="206" t="s">
        <v>171</v>
      </c>
      <c r="B314" s="11" t="s">
        <v>9</v>
      </c>
      <c r="C314" s="41">
        <f>+C312</f>
        <v>2</v>
      </c>
      <c r="D314" s="301">
        <v>90</v>
      </c>
      <c r="E314" s="12">
        <f>C314*D314</f>
        <v>180</v>
      </c>
      <c r="F314" s="228"/>
    </row>
    <row r="315" spans="1:6" ht="13.5" thickBot="1">
      <c r="A315" s="206" t="s">
        <v>29</v>
      </c>
      <c r="B315" s="33" t="s">
        <v>7</v>
      </c>
      <c r="C315" s="76">
        <v>1</v>
      </c>
      <c r="D315" s="47">
        <f>+E314</f>
        <v>180</v>
      </c>
      <c r="E315" s="47">
        <f>+D315/C315</f>
        <v>180</v>
      </c>
      <c r="F315" s="228"/>
    </row>
    <row r="316" spans="1:6" ht="13.5" thickBot="1">
      <c r="A316" s="229"/>
      <c r="B316" s="48"/>
      <c r="C316" s="48"/>
      <c r="D316" s="191" t="s">
        <v>155</v>
      </c>
      <c r="E316" s="351">
        <f>$B$50</f>
        <v>1</v>
      </c>
      <c r="F316" s="323">
        <f>(E313+E315)*E316</f>
        <v>201.66666666666666</v>
      </c>
    </row>
    <row r="317" spans="1:6" s="32" customFormat="1" ht="11.25" customHeight="1">
      <c r="A317" s="195"/>
      <c r="B317" s="34"/>
      <c r="C317" s="34"/>
      <c r="D317" s="36"/>
      <c r="E317" s="36"/>
      <c r="F317" s="64"/>
    </row>
    <row r="318" spans="1:6" ht="11.25" customHeight="1" thickBot="1">
      <c r="A318" s="199" t="s">
        <v>277</v>
      </c>
      <c r="B318" s="34"/>
      <c r="C318" s="34"/>
      <c r="D318" s="36"/>
      <c r="E318" s="36"/>
      <c r="F318" s="64"/>
    </row>
    <row r="319" spans="1:6" ht="13.5" thickBot="1">
      <c r="A319" s="311" t="s">
        <v>49</v>
      </c>
      <c r="B319" s="312" t="s">
        <v>50</v>
      </c>
      <c r="C319" s="312" t="s">
        <v>31</v>
      </c>
      <c r="D319" s="314" t="s">
        <v>181</v>
      </c>
      <c r="E319" s="314" t="s">
        <v>51</v>
      </c>
      <c r="F319" s="315" t="s">
        <v>52</v>
      </c>
    </row>
    <row r="320" spans="1:6">
      <c r="A320" s="206" t="s">
        <v>170</v>
      </c>
      <c r="B320" s="33" t="s">
        <v>9</v>
      </c>
      <c r="C320" s="41">
        <f>E47</f>
        <v>1</v>
      </c>
      <c r="D320" s="49">
        <f>D312</f>
        <v>130</v>
      </c>
      <c r="E320" s="12">
        <f>+D320*C320</f>
        <v>130</v>
      </c>
      <c r="F320" s="228"/>
    </row>
    <row r="321" spans="1:6">
      <c r="A321" s="206" t="s">
        <v>47</v>
      </c>
      <c r="B321" s="33" t="s">
        <v>7</v>
      </c>
      <c r="C321" s="76">
        <v>12</v>
      </c>
      <c r="D321" s="47">
        <f>SUM(E320:E320)</f>
        <v>130</v>
      </c>
      <c r="E321" s="47">
        <f>+D321/C321</f>
        <v>10.833333333333334</v>
      </c>
      <c r="F321" s="228"/>
    </row>
    <row r="322" spans="1:6">
      <c r="A322" s="206" t="s">
        <v>171</v>
      </c>
      <c r="B322" s="11" t="s">
        <v>9</v>
      </c>
      <c r="C322" s="41">
        <f>+C320</f>
        <v>1</v>
      </c>
      <c r="D322" s="49">
        <f>D314</f>
        <v>90</v>
      </c>
      <c r="E322" s="12">
        <f>C322*D322</f>
        <v>90</v>
      </c>
      <c r="F322" s="228"/>
    </row>
    <row r="323" spans="1:6" ht="13.5" thickBot="1">
      <c r="A323" s="206" t="s">
        <v>29</v>
      </c>
      <c r="B323" s="33" t="s">
        <v>7</v>
      </c>
      <c r="C323" s="76">
        <v>1</v>
      </c>
      <c r="D323" s="47">
        <f>+E322</f>
        <v>90</v>
      </c>
      <c r="E323" s="47">
        <f>+D323/C323</f>
        <v>90</v>
      </c>
      <c r="F323" s="228"/>
    </row>
    <row r="324" spans="1:6" ht="13.5" thickBot="1">
      <c r="A324" s="229"/>
      <c r="B324" s="48"/>
      <c r="C324" s="48"/>
      <c r="D324" s="191" t="s">
        <v>155</v>
      </c>
      <c r="E324" s="231">
        <f>B$51</f>
        <v>1</v>
      </c>
      <c r="F324" s="323">
        <f>(E321+E323)*E324</f>
        <v>100.83333333333333</v>
      </c>
    </row>
    <row r="325" spans="1:6" s="32" customFormat="1" ht="11.25" customHeight="1" thickBot="1">
      <c r="A325" s="195"/>
      <c r="B325" s="34"/>
      <c r="C325" s="34"/>
      <c r="D325" s="36"/>
      <c r="E325" s="36"/>
      <c r="F325" s="64"/>
    </row>
    <row r="326" spans="1:6" ht="13.5" thickBot="1">
      <c r="A326" s="13" t="s">
        <v>169</v>
      </c>
      <c r="B326" s="14"/>
      <c r="C326" s="14"/>
      <c r="D326" s="15"/>
      <c r="E326" s="16"/>
      <c r="F326" s="316">
        <f>+F316+F324</f>
        <v>302.5</v>
      </c>
    </row>
    <row r="327" spans="1:6" ht="11.25" customHeight="1">
      <c r="A327" s="195"/>
      <c r="B327" s="34"/>
      <c r="C327" s="34"/>
      <c r="D327" s="36"/>
      <c r="E327" s="36"/>
      <c r="F327" s="64"/>
    </row>
    <row r="328" spans="1:6" ht="11.25" customHeight="1" thickBot="1">
      <c r="A328" s="195"/>
      <c r="B328" s="34"/>
      <c r="C328" s="34"/>
      <c r="D328" s="36"/>
      <c r="E328" s="36"/>
      <c r="F328" s="64"/>
    </row>
    <row r="329" spans="1:6" ht="17.25" customHeight="1" thickBot="1">
      <c r="A329" s="13" t="s">
        <v>319</v>
      </c>
      <c r="B329" s="17"/>
      <c r="C329" s="17"/>
      <c r="D329" s="18"/>
      <c r="E329" s="19"/>
      <c r="F329" s="324">
        <f>+F129+F161+F294+F307+F326</f>
        <v>84577.386410286068</v>
      </c>
    </row>
    <row r="330" spans="1:6" ht="11.25" customHeight="1">
      <c r="A330" s="195"/>
      <c r="B330" s="34"/>
      <c r="C330" s="34"/>
      <c r="D330" s="36"/>
      <c r="E330" s="36"/>
      <c r="F330" s="64"/>
    </row>
    <row r="331" spans="1:6">
      <c r="A331" s="199"/>
      <c r="B331" s="34"/>
      <c r="C331" s="34"/>
      <c r="D331" s="36"/>
      <c r="E331" s="36"/>
      <c r="F331" s="64"/>
    </row>
    <row r="332" spans="1:6" ht="11.25" customHeight="1" thickBot="1">
      <c r="A332" s="199" t="s">
        <v>353</v>
      </c>
      <c r="B332" s="34"/>
      <c r="C332" s="34"/>
      <c r="D332" s="36"/>
      <c r="E332" s="36"/>
      <c r="F332" s="64"/>
    </row>
    <row r="333" spans="1:6" ht="13.5" thickBot="1">
      <c r="A333" s="311" t="s">
        <v>49</v>
      </c>
      <c r="B333" s="312" t="s">
        <v>50</v>
      </c>
      <c r="C333" s="312" t="s">
        <v>31</v>
      </c>
      <c r="D333" s="314" t="s">
        <v>181</v>
      </c>
      <c r="E333" s="314" t="s">
        <v>51</v>
      </c>
      <c r="F333" s="315" t="s">
        <v>52</v>
      </c>
    </row>
    <row r="334" spans="1:6" ht="13.5" thickBot="1">
      <c r="A334" s="212" t="s">
        <v>28</v>
      </c>
      <c r="B334" s="9"/>
      <c r="C334" s="66">
        <f>'4.BDI'!C11*100</f>
        <v>31.75</v>
      </c>
      <c r="D334" s="10">
        <f>+F329</f>
        <v>84577.386410286068</v>
      </c>
      <c r="E334" s="10">
        <f>C334*D334/100</f>
        <v>26853.320185265824</v>
      </c>
      <c r="F334" s="64"/>
    </row>
    <row r="335" spans="1:6" ht="13.5" thickBot="1">
      <c r="A335" s="195"/>
      <c r="B335" s="34"/>
      <c r="C335" s="34"/>
      <c r="D335" s="36"/>
      <c r="E335" s="36"/>
      <c r="F335" s="316">
        <f>+E334</f>
        <v>26853.320185265824</v>
      </c>
    </row>
    <row r="336" spans="1:6" ht="11.25" customHeight="1" thickBot="1">
      <c r="A336" s="195"/>
      <c r="B336" s="34"/>
      <c r="C336" s="34"/>
      <c r="D336" s="36"/>
      <c r="E336" s="36"/>
      <c r="F336" s="64"/>
    </row>
    <row r="337" spans="1:6" ht="13.5" thickBot="1">
      <c r="A337" s="13" t="s">
        <v>320</v>
      </c>
      <c r="B337" s="17"/>
      <c r="C337" s="17"/>
      <c r="D337" s="18"/>
      <c r="E337" s="19"/>
      <c r="F337" s="324">
        <f>F335</f>
        <v>26853.320185265824</v>
      </c>
    </row>
    <row r="338" spans="1:6" ht="13.5" thickBot="1">
      <c r="A338" s="199"/>
      <c r="B338" s="21"/>
      <c r="C338" s="21"/>
      <c r="D338" s="22"/>
      <c r="E338" s="22"/>
      <c r="F338" s="227"/>
    </row>
    <row r="339" spans="1:6" ht="24.75" customHeight="1" thickBot="1">
      <c r="A339" s="13" t="s">
        <v>321</v>
      </c>
      <c r="B339" s="17"/>
      <c r="C339" s="17"/>
      <c r="D339" s="18"/>
      <c r="E339" s="19"/>
      <c r="F339" s="308">
        <f>F329+F337</f>
        <v>111430.70659555189</v>
      </c>
    </row>
    <row r="340" spans="1:6" s="3" customFormat="1" ht="11.25" customHeight="1">
      <c r="A340" s="271"/>
      <c r="B340" s="272"/>
      <c r="C340" s="272"/>
      <c r="D340" s="273"/>
      <c r="E340" s="273"/>
      <c r="F340" s="233"/>
    </row>
    <row r="341" spans="1:6" s="3" customFormat="1" ht="11.25" customHeight="1">
      <c r="A341" s="271"/>
      <c r="B341" s="272"/>
      <c r="C341" s="272"/>
      <c r="D341" s="273"/>
      <c r="E341" s="273"/>
      <c r="F341" s="233"/>
    </row>
    <row r="342" spans="1:6" s="3" customFormat="1" ht="13.5" thickBot="1">
      <c r="A342" s="199" t="s">
        <v>354</v>
      </c>
      <c r="B342" s="272"/>
      <c r="C342" s="272"/>
      <c r="D342" s="273"/>
      <c r="E342" s="273"/>
      <c r="F342" s="233"/>
    </row>
    <row r="343" spans="1:6" s="3" customFormat="1" ht="13.5" thickBot="1">
      <c r="A343" s="311" t="s">
        <v>49</v>
      </c>
      <c r="B343" s="312" t="s">
        <v>50</v>
      </c>
      <c r="C343" s="312" t="s">
        <v>31</v>
      </c>
      <c r="D343" s="314" t="s">
        <v>181</v>
      </c>
      <c r="E343" s="314" t="s">
        <v>51</v>
      </c>
      <c r="F343" s="315" t="s">
        <v>52</v>
      </c>
    </row>
    <row r="344" spans="1:6" s="3" customFormat="1" ht="13.5" thickBot="1">
      <c r="A344" s="205" t="s">
        <v>28</v>
      </c>
      <c r="B344" s="183" t="s">
        <v>2</v>
      </c>
      <c r="C344" s="274">
        <f>'4.BDI'!C23*100</f>
        <v>23.93</v>
      </c>
      <c r="D344" s="232">
        <f>F329</f>
        <v>84577.386410286068</v>
      </c>
      <c r="E344" s="232">
        <f>C344*D344/100</f>
        <v>20239.368567981455</v>
      </c>
      <c r="F344" s="233"/>
    </row>
    <row r="345" spans="1:6" s="3" customFormat="1" ht="13.5" thickBot="1">
      <c r="A345" s="271"/>
      <c r="B345" s="272"/>
      <c r="C345" s="272"/>
      <c r="D345" s="273"/>
      <c r="E345" s="273"/>
      <c r="F345" s="316">
        <f>+E344</f>
        <v>20239.368567981455</v>
      </c>
    </row>
    <row r="346" spans="1:6" s="3" customFormat="1" ht="11.25" customHeight="1" thickBot="1">
      <c r="A346" s="271"/>
      <c r="B346" s="272"/>
      <c r="C346" s="272"/>
      <c r="D346" s="273"/>
      <c r="E346" s="273"/>
      <c r="F346" s="233"/>
    </row>
    <row r="347" spans="1:6" s="3" customFormat="1" ht="13.5" thickBot="1">
      <c r="A347" s="13" t="s">
        <v>322</v>
      </c>
      <c r="B347" s="275"/>
      <c r="C347" s="275"/>
      <c r="D347" s="276"/>
      <c r="E347" s="277"/>
      <c r="F347" s="324">
        <f>F345</f>
        <v>20239.368567981455</v>
      </c>
    </row>
    <row r="348" spans="1:6" s="3" customFormat="1" ht="13.5" thickBot="1">
      <c r="A348" s="199"/>
      <c r="B348" s="21"/>
      <c r="C348" s="21"/>
      <c r="D348" s="22"/>
      <c r="E348" s="22"/>
      <c r="F348" s="227"/>
    </row>
    <row r="349" spans="1:6" s="3" customFormat="1" ht="24.75" customHeight="1" thickBot="1">
      <c r="A349" s="13" t="s">
        <v>323</v>
      </c>
      <c r="B349" s="275"/>
      <c r="C349" s="275"/>
      <c r="D349" s="276"/>
      <c r="E349" s="277"/>
      <c r="F349" s="308">
        <f>F329+F347</f>
        <v>104816.75497826752</v>
      </c>
    </row>
    <row r="350" spans="1:6" s="3" customFormat="1">
      <c r="D350" s="282"/>
      <c r="E350" s="282"/>
      <c r="F350" s="282"/>
    </row>
    <row r="351" spans="1:6" s="3" customFormat="1">
      <c r="D351" s="282"/>
      <c r="E351" s="282"/>
      <c r="F351" s="282"/>
    </row>
    <row r="352" spans="1:6" s="3" customFormat="1">
      <c r="D352" s="282"/>
      <c r="E352" s="282"/>
      <c r="F352" s="282"/>
    </row>
    <row r="353" spans="2:6" s="3" customFormat="1">
      <c r="D353" s="282"/>
      <c r="E353" s="282"/>
      <c r="F353" s="282"/>
    </row>
    <row r="354" spans="2:6" s="3" customFormat="1">
      <c r="D354" s="282"/>
      <c r="E354" s="282"/>
      <c r="F354" s="282"/>
    </row>
    <row r="355" spans="2:6" s="3" customFormat="1">
      <c r="D355" s="282"/>
      <c r="E355" s="282"/>
      <c r="F355" s="282"/>
    </row>
    <row r="356" spans="2:6" s="3" customFormat="1">
      <c r="B356" s="360"/>
      <c r="C356" s="360"/>
      <c r="D356" s="360"/>
      <c r="E356" s="282"/>
      <c r="F356" s="282"/>
    </row>
    <row r="357" spans="2:6" s="3" customFormat="1">
      <c r="B357" s="360"/>
      <c r="C357" s="360"/>
      <c r="D357" s="360"/>
      <c r="E357" s="282"/>
      <c r="F357" s="282"/>
    </row>
    <row r="358" spans="2:6" s="3" customFormat="1">
      <c r="B358" s="360"/>
      <c r="C358" s="360"/>
      <c r="D358" s="360"/>
      <c r="E358" s="282"/>
      <c r="F358" s="282"/>
    </row>
    <row r="359" spans="2:6" s="3" customFormat="1">
      <c r="D359" s="282"/>
      <c r="E359" s="282"/>
      <c r="F359" s="282"/>
    </row>
    <row r="360" spans="2:6" s="3" customFormat="1">
      <c r="D360" s="282"/>
      <c r="E360" s="282"/>
      <c r="F360" s="282"/>
    </row>
    <row r="361" spans="2:6" s="3" customFormat="1">
      <c r="D361" s="282"/>
      <c r="E361" s="282"/>
      <c r="F361" s="282"/>
    </row>
    <row r="369" s="5" customFormat="1" ht="9" customHeight="1"/>
  </sheetData>
  <mergeCells count="10">
    <mergeCell ref="B356:D356"/>
    <mergeCell ref="B357:D357"/>
    <mergeCell ref="B358:D358"/>
    <mergeCell ref="A1:F1"/>
    <mergeCell ref="A45:D45"/>
    <mergeCell ref="A3:F3"/>
    <mergeCell ref="A5:F5"/>
    <mergeCell ref="A38:E38"/>
    <mergeCell ref="C6:D6"/>
    <mergeCell ref="E6:F6"/>
  </mergeCells>
  <phoneticPr fontId="11" type="noConversion"/>
  <hyperlinks>
    <hyperlink ref="A180" location="AbaRemun" display="3.1.2. Remuneração do Capital"/>
    <hyperlink ref="A165" location="AbaDeprec" display="3.1.1. Depreciação"/>
    <hyperlink ref="A249" location="AbaRemun" display="3.1.2. Remuneração do Capital"/>
    <hyperlink ref="A238" location="AbaDeprec" display="3.1.1. Depreciação"/>
  </hyperlinks>
  <pageMargins left="0.39370078740157483" right="0" top="0.39370078740157483" bottom="0.39370078740157483" header="0" footer="0"/>
  <pageSetup paperSize="9" scale="79" fitToHeight="0" orientation="portrait" r:id="rId1"/>
  <headerFooter alignWithMargins="0">
    <oddFooter>&amp;R&amp;P de &amp;N</oddFooter>
  </headerFooter>
  <rowBreaks count="3" manualBreakCount="3">
    <brk id="143" max="5" man="1"/>
    <brk id="219" max="16383" man="1"/>
    <brk id="29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sqref="A1:J18"/>
    </sheetView>
  </sheetViews>
  <sheetFormatPr defaultRowHeight="14.25"/>
  <cols>
    <col min="1" max="1" width="26.5703125" style="241" customWidth="1"/>
    <col min="2" max="2" width="9.7109375" style="241" bestFit="1" customWidth="1"/>
    <col min="3" max="3" width="11.140625" style="241" customWidth="1"/>
    <col min="4" max="4" width="6.28515625" style="251" bestFit="1" customWidth="1"/>
    <col min="5" max="5" width="8.42578125" style="241" bestFit="1" customWidth="1"/>
    <col min="6" max="6" width="10.85546875" style="241" bestFit="1" customWidth="1"/>
    <col min="7" max="7" width="10.85546875" style="241" customWidth="1"/>
    <col min="8" max="10" width="8.7109375" style="241" bestFit="1" customWidth="1"/>
    <col min="11" max="11" width="9.140625" style="241"/>
    <col min="12" max="12" width="47.28515625" style="241" customWidth="1"/>
    <col min="13" max="13" width="10.28515625" style="241" bestFit="1" customWidth="1"/>
    <col min="14" max="14" width="9.140625" style="241"/>
    <col min="15" max="15" width="10.28515625" style="241" bestFit="1" customWidth="1"/>
    <col min="16" max="16384" width="9.140625" style="241"/>
  </cols>
  <sheetData>
    <row r="1" spans="1:11" ht="15">
      <c r="A1" s="239" t="s">
        <v>295</v>
      </c>
      <c r="B1" s="239"/>
      <c r="C1" s="239"/>
      <c r="D1" s="240"/>
    </row>
    <row r="2" spans="1:11" ht="45">
      <c r="A2" s="242" t="s">
        <v>107</v>
      </c>
      <c r="B2" s="243" t="s">
        <v>296</v>
      </c>
      <c r="C2" s="243" t="s">
        <v>297</v>
      </c>
      <c r="D2" s="243" t="s">
        <v>298</v>
      </c>
      <c r="E2" s="243" t="s">
        <v>299</v>
      </c>
      <c r="F2" s="243" t="s">
        <v>300</v>
      </c>
      <c r="G2" s="243" t="s">
        <v>301</v>
      </c>
      <c r="H2" s="243" t="s">
        <v>302</v>
      </c>
      <c r="I2" s="243" t="s">
        <v>303</v>
      </c>
      <c r="J2" s="243" t="s">
        <v>304</v>
      </c>
    </row>
    <row r="3" spans="1:11">
      <c r="A3" s="244" t="s">
        <v>305</v>
      </c>
      <c r="B3" s="337">
        <v>1</v>
      </c>
      <c r="C3" s="338">
        <f>12/12</f>
        <v>1</v>
      </c>
      <c r="D3" s="245" t="s">
        <v>37</v>
      </c>
      <c r="E3" s="337">
        <v>8</v>
      </c>
      <c r="F3" s="246">
        <f>25/(E3*B3)</f>
        <v>3.125</v>
      </c>
      <c r="G3" s="246">
        <f>E3*F3*C3</f>
        <v>25</v>
      </c>
      <c r="H3" s="337">
        <v>50</v>
      </c>
      <c r="I3" s="247">
        <f>(G3*H3)/1000</f>
        <v>1.25</v>
      </c>
      <c r="J3" s="246">
        <f>I3*B$18</f>
        <v>31.25</v>
      </c>
      <c r="K3" s="248"/>
    </row>
    <row r="4" spans="1:11">
      <c r="A4" s="244" t="s">
        <v>306</v>
      </c>
      <c r="B4" s="337">
        <v>1</v>
      </c>
      <c r="C4" s="338">
        <f>12/12</f>
        <v>1</v>
      </c>
      <c r="D4" s="245" t="s">
        <v>307</v>
      </c>
      <c r="E4" s="337">
        <v>8</v>
      </c>
      <c r="F4" s="246">
        <f>25/(E4*B4)</f>
        <v>3.125</v>
      </c>
      <c r="G4" s="246">
        <f>E4*F4*C4</f>
        <v>25</v>
      </c>
      <c r="H4" s="337">
        <v>150</v>
      </c>
      <c r="I4" s="247">
        <f>(G4*H4)/1000</f>
        <v>3.75</v>
      </c>
      <c r="J4" s="246">
        <f>I4*B$18</f>
        <v>93.75</v>
      </c>
    </row>
    <row r="5" spans="1:11">
      <c r="A5" s="244" t="s">
        <v>308</v>
      </c>
      <c r="B5" s="337">
        <v>1</v>
      </c>
      <c r="C5" s="338">
        <f>12/12</f>
        <v>1</v>
      </c>
      <c r="D5" s="245" t="s">
        <v>307</v>
      </c>
      <c r="E5" s="337">
        <v>8</v>
      </c>
      <c r="F5" s="246">
        <f>25/(E5*B5)</f>
        <v>3.125</v>
      </c>
      <c r="G5" s="246">
        <f>E5*F5*C5</f>
        <v>25</v>
      </c>
      <c r="H5" s="337">
        <v>500</v>
      </c>
      <c r="I5" s="247">
        <f>(G5*H5)/1000</f>
        <v>12.5</v>
      </c>
      <c r="J5" s="246">
        <f>I5*B$18</f>
        <v>312.5</v>
      </c>
    </row>
    <row r="6" spans="1:11">
      <c r="A6" s="244" t="s">
        <v>309</v>
      </c>
      <c r="B6" s="337">
        <v>6</v>
      </c>
      <c r="C6" s="338">
        <f>12/12</f>
        <v>1</v>
      </c>
      <c r="D6" s="245" t="s">
        <v>307</v>
      </c>
      <c r="E6" s="337">
        <v>2</v>
      </c>
      <c r="F6" s="246">
        <f>25/(E6*B6)</f>
        <v>2.0833333333333335</v>
      </c>
      <c r="G6" s="246">
        <f>E6*F6*C6</f>
        <v>4.166666666666667</v>
      </c>
      <c r="H6" s="337">
        <v>30</v>
      </c>
      <c r="I6" s="247">
        <f>(G6*H6)/1000</f>
        <v>0.12500000000000003</v>
      </c>
      <c r="J6" s="246">
        <f>I6*B$18</f>
        <v>3.1250000000000009</v>
      </c>
    </row>
    <row r="7" spans="1:11">
      <c r="A7" s="244" t="s">
        <v>310</v>
      </c>
      <c r="B7" s="337">
        <v>2</v>
      </c>
      <c r="C7" s="338">
        <f>5/12</f>
        <v>0.41666666666666669</v>
      </c>
      <c r="D7" s="245" t="s">
        <v>307</v>
      </c>
      <c r="E7" s="337">
        <v>4</v>
      </c>
      <c r="F7" s="246">
        <f>25/(E7*B7)</f>
        <v>3.125</v>
      </c>
      <c r="G7" s="246">
        <f>E7*F7*C7</f>
        <v>5.2083333333333339</v>
      </c>
      <c r="H7" s="337">
        <v>400</v>
      </c>
      <c r="I7" s="247">
        <f>(G7*H7)/1000</f>
        <v>2.0833333333333335</v>
      </c>
      <c r="J7" s="246">
        <f>I7*B$18</f>
        <v>52.083333333333336</v>
      </c>
    </row>
    <row r="8" spans="1:11" ht="15">
      <c r="A8" s="244"/>
      <c r="B8" s="245"/>
      <c r="C8" s="245"/>
      <c r="D8" s="245"/>
      <c r="E8" s="245"/>
      <c r="F8" s="245"/>
      <c r="G8" s="245"/>
      <c r="H8" s="244"/>
      <c r="I8" s="249">
        <f>SUM(I3:I7)</f>
        <v>19.708333333333332</v>
      </c>
      <c r="J8" s="250">
        <f>SUM(J3:J7)</f>
        <v>492.70833333333331</v>
      </c>
    </row>
    <row r="10" spans="1:11" ht="15">
      <c r="A10" s="239" t="s">
        <v>311</v>
      </c>
      <c r="B10" s="239"/>
      <c r="C10" s="239"/>
      <c r="D10" s="240"/>
    </row>
    <row r="11" spans="1:11" ht="45">
      <c r="A11" s="242" t="s">
        <v>107</v>
      </c>
      <c r="B11" s="243" t="s">
        <v>296</v>
      </c>
      <c r="C11" s="243" t="s">
        <v>297</v>
      </c>
      <c r="D11" s="243" t="s">
        <v>298</v>
      </c>
      <c r="E11" s="243" t="s">
        <v>299</v>
      </c>
      <c r="F11" s="243" t="s">
        <v>300</v>
      </c>
      <c r="G11" s="243" t="s">
        <v>301</v>
      </c>
      <c r="H11" s="243" t="s">
        <v>302</v>
      </c>
      <c r="I11" s="243" t="s">
        <v>303</v>
      </c>
      <c r="J11" s="243" t="s">
        <v>304</v>
      </c>
    </row>
    <row r="12" spans="1:11">
      <c r="A12" s="244" t="s">
        <v>306</v>
      </c>
      <c r="B12" s="337">
        <v>1</v>
      </c>
      <c r="C12" s="338">
        <f>12/12</f>
        <v>1</v>
      </c>
      <c r="D12" s="245" t="s">
        <v>307</v>
      </c>
      <c r="E12" s="337">
        <v>4</v>
      </c>
      <c r="F12" s="246">
        <f>25/(E12*B12)</f>
        <v>6.25</v>
      </c>
      <c r="G12" s="246">
        <f>E12*F12*C12</f>
        <v>25</v>
      </c>
      <c r="H12" s="337">
        <v>150</v>
      </c>
      <c r="I12" s="247">
        <f>(G12*H12)/1000</f>
        <v>3.75</v>
      </c>
      <c r="J12" s="246">
        <f>I12*B$18</f>
        <v>93.75</v>
      </c>
    </row>
    <row r="13" spans="1:11">
      <c r="A13" s="244" t="s">
        <v>308</v>
      </c>
      <c r="B13" s="337">
        <v>1</v>
      </c>
      <c r="C13" s="338">
        <f>12/12</f>
        <v>1</v>
      </c>
      <c r="D13" s="245" t="s">
        <v>307</v>
      </c>
      <c r="E13" s="337">
        <v>4</v>
      </c>
      <c r="F13" s="246">
        <f>25/(E13*B13)</f>
        <v>6.25</v>
      </c>
      <c r="G13" s="246">
        <f>E13*F13*C13</f>
        <v>25</v>
      </c>
      <c r="H13" s="337">
        <v>500</v>
      </c>
      <c r="I13" s="247">
        <f>(G13*H13)/1000</f>
        <v>12.5</v>
      </c>
      <c r="J13" s="246">
        <f>I13*B$18</f>
        <v>312.5</v>
      </c>
    </row>
    <row r="14" spans="1:11">
      <c r="A14" s="244" t="s">
        <v>309</v>
      </c>
      <c r="B14" s="337">
        <v>6</v>
      </c>
      <c r="C14" s="338">
        <f>12/12</f>
        <v>1</v>
      </c>
      <c r="D14" s="245" t="s">
        <v>307</v>
      </c>
      <c r="E14" s="337">
        <v>3</v>
      </c>
      <c r="F14" s="246">
        <f>25/(E14*B14)</f>
        <v>1.3888888888888888</v>
      </c>
      <c r="G14" s="246">
        <f>E14*F14*C14</f>
        <v>4.1666666666666661</v>
      </c>
      <c r="H14" s="337">
        <v>30</v>
      </c>
      <c r="I14" s="247">
        <f>(G14*H14)/1000</f>
        <v>0.12499999999999999</v>
      </c>
      <c r="J14" s="246">
        <f>I14*B$18</f>
        <v>3.1249999999999996</v>
      </c>
    </row>
    <row r="15" spans="1:11">
      <c r="A15" s="244" t="s">
        <v>310</v>
      </c>
      <c r="B15" s="337">
        <v>3</v>
      </c>
      <c r="C15" s="338">
        <f>5/12</f>
        <v>0.41666666666666669</v>
      </c>
      <c r="D15" s="245" t="s">
        <v>307</v>
      </c>
      <c r="E15" s="337">
        <v>2</v>
      </c>
      <c r="F15" s="246">
        <f>25/(E15*B15)</f>
        <v>4.166666666666667</v>
      </c>
      <c r="G15" s="246">
        <f>E15*F15*C15</f>
        <v>3.4722222222222228</v>
      </c>
      <c r="H15" s="337">
        <v>400</v>
      </c>
      <c r="I15" s="247">
        <f>(G15*H15)/1000</f>
        <v>1.3888888888888891</v>
      </c>
      <c r="J15" s="246">
        <f>I15*B$18</f>
        <v>34.722222222222229</v>
      </c>
    </row>
    <row r="16" spans="1:11" ht="15">
      <c r="A16" s="244"/>
      <c r="B16" s="245"/>
      <c r="C16" s="245"/>
      <c r="D16" s="245"/>
      <c r="E16" s="245"/>
      <c r="F16" s="245"/>
      <c r="G16" s="245"/>
      <c r="H16" s="244"/>
      <c r="I16" s="249">
        <f>SUM(I12:I15)</f>
        <v>17.763888888888889</v>
      </c>
      <c r="J16" s="250">
        <f>SUM(J12:J15)</f>
        <v>444.09722222222223</v>
      </c>
    </row>
    <row r="17" spans="1:4">
      <c r="B17" s="251"/>
      <c r="C17" s="251"/>
    </row>
    <row r="18" spans="1:4" ht="15">
      <c r="A18" s="242" t="s">
        <v>312</v>
      </c>
      <c r="B18" s="336">
        <v>25</v>
      </c>
      <c r="D18" s="24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46.85546875" style="171" customWidth="1"/>
    <col min="2" max="2" width="9.140625" style="180" customWidth="1"/>
    <col min="3" max="3" width="10" style="171" bestFit="1" customWidth="1"/>
    <col min="4" max="4" width="9.140625" style="171"/>
    <col min="5" max="5" width="16.85546875" style="171" bestFit="1" customWidth="1"/>
    <col min="6" max="6" width="9.140625" style="171"/>
    <col min="7" max="7" width="6.85546875" style="171" bestFit="1" customWidth="1"/>
    <col min="8" max="8" width="14.5703125" style="171" bestFit="1" customWidth="1"/>
    <col min="9" max="255" width="9.140625" style="171"/>
    <col min="256" max="256" width="46.85546875" style="171" customWidth="1"/>
    <col min="257" max="257" width="9.140625" style="171" customWidth="1"/>
    <col min="258" max="258" width="12.140625" style="171" bestFit="1" customWidth="1"/>
    <col min="259" max="259" width="10" style="171" bestFit="1" customWidth="1"/>
    <col min="260" max="511" width="9.140625" style="171"/>
    <col min="512" max="512" width="46.85546875" style="171" customWidth="1"/>
    <col min="513" max="513" width="9.140625" style="171" customWidth="1"/>
    <col min="514" max="514" width="12.140625" style="171" bestFit="1" customWidth="1"/>
    <col min="515" max="515" width="10" style="171" bestFit="1" customWidth="1"/>
    <col min="516" max="767" width="9.140625" style="171"/>
    <col min="768" max="768" width="46.85546875" style="171" customWidth="1"/>
    <col min="769" max="769" width="9.140625" style="171" customWidth="1"/>
    <col min="770" max="770" width="12.140625" style="171" bestFit="1" customWidth="1"/>
    <col min="771" max="771" width="10" style="171" bestFit="1" customWidth="1"/>
    <col min="772" max="1023" width="9.140625" style="171"/>
    <col min="1024" max="1024" width="46.85546875" style="171" customWidth="1"/>
    <col min="1025" max="1025" width="9.140625" style="171" customWidth="1"/>
    <col min="1026" max="1026" width="12.140625" style="171" bestFit="1" customWidth="1"/>
    <col min="1027" max="1027" width="10" style="171" bestFit="1" customWidth="1"/>
    <col min="1028" max="1279" width="9.140625" style="171"/>
    <col min="1280" max="1280" width="46.85546875" style="171" customWidth="1"/>
    <col min="1281" max="1281" width="9.140625" style="171" customWidth="1"/>
    <col min="1282" max="1282" width="12.140625" style="171" bestFit="1" customWidth="1"/>
    <col min="1283" max="1283" width="10" style="171" bestFit="1" customWidth="1"/>
    <col min="1284" max="1535" width="9.140625" style="171"/>
    <col min="1536" max="1536" width="46.85546875" style="171" customWidth="1"/>
    <col min="1537" max="1537" width="9.140625" style="171" customWidth="1"/>
    <col min="1538" max="1538" width="12.140625" style="171" bestFit="1" customWidth="1"/>
    <col min="1539" max="1539" width="10" style="171" bestFit="1" customWidth="1"/>
    <col min="1540" max="1791" width="9.140625" style="171"/>
    <col min="1792" max="1792" width="46.85546875" style="171" customWidth="1"/>
    <col min="1793" max="1793" width="9.140625" style="171" customWidth="1"/>
    <col min="1794" max="1794" width="12.140625" style="171" bestFit="1" customWidth="1"/>
    <col min="1795" max="1795" width="10" style="171" bestFit="1" customWidth="1"/>
    <col min="1796" max="2047" width="9.140625" style="171"/>
    <col min="2048" max="2048" width="46.85546875" style="171" customWidth="1"/>
    <col min="2049" max="2049" width="9.140625" style="171" customWidth="1"/>
    <col min="2050" max="2050" width="12.140625" style="171" bestFit="1" customWidth="1"/>
    <col min="2051" max="2051" width="10" style="171" bestFit="1" customWidth="1"/>
    <col min="2052" max="2303" width="9.140625" style="171"/>
    <col min="2304" max="2304" width="46.85546875" style="171" customWidth="1"/>
    <col min="2305" max="2305" width="9.140625" style="171" customWidth="1"/>
    <col min="2306" max="2306" width="12.140625" style="171" bestFit="1" customWidth="1"/>
    <col min="2307" max="2307" width="10" style="171" bestFit="1" customWidth="1"/>
    <col min="2308" max="2559" width="9.140625" style="171"/>
    <col min="2560" max="2560" width="46.85546875" style="171" customWidth="1"/>
    <col min="2561" max="2561" width="9.140625" style="171" customWidth="1"/>
    <col min="2562" max="2562" width="12.140625" style="171" bestFit="1" customWidth="1"/>
    <col min="2563" max="2563" width="10" style="171" bestFit="1" customWidth="1"/>
    <col min="2564" max="2815" width="9.140625" style="171"/>
    <col min="2816" max="2816" width="46.85546875" style="171" customWidth="1"/>
    <col min="2817" max="2817" width="9.140625" style="171" customWidth="1"/>
    <col min="2818" max="2818" width="12.140625" style="171" bestFit="1" customWidth="1"/>
    <col min="2819" max="2819" width="10" style="171" bestFit="1" customWidth="1"/>
    <col min="2820" max="3071" width="9.140625" style="171"/>
    <col min="3072" max="3072" width="46.85546875" style="171" customWidth="1"/>
    <col min="3073" max="3073" width="9.140625" style="171" customWidth="1"/>
    <col min="3074" max="3074" width="12.140625" style="171" bestFit="1" customWidth="1"/>
    <col min="3075" max="3075" width="10" style="171" bestFit="1" customWidth="1"/>
    <col min="3076" max="3327" width="9.140625" style="171"/>
    <col min="3328" max="3328" width="46.85546875" style="171" customWidth="1"/>
    <col min="3329" max="3329" width="9.140625" style="171" customWidth="1"/>
    <col min="3330" max="3330" width="12.140625" style="171" bestFit="1" customWidth="1"/>
    <col min="3331" max="3331" width="10" style="171" bestFit="1" customWidth="1"/>
    <col min="3332" max="3583" width="9.140625" style="171"/>
    <col min="3584" max="3584" width="46.85546875" style="171" customWidth="1"/>
    <col min="3585" max="3585" width="9.140625" style="171" customWidth="1"/>
    <col min="3586" max="3586" width="12.140625" style="171" bestFit="1" customWidth="1"/>
    <col min="3587" max="3587" width="10" style="171" bestFit="1" customWidth="1"/>
    <col min="3588" max="3839" width="9.140625" style="171"/>
    <col min="3840" max="3840" width="46.85546875" style="171" customWidth="1"/>
    <col min="3841" max="3841" width="9.140625" style="171" customWidth="1"/>
    <col min="3842" max="3842" width="12.140625" style="171" bestFit="1" customWidth="1"/>
    <col min="3843" max="3843" width="10" style="171" bestFit="1" customWidth="1"/>
    <col min="3844" max="4095" width="9.140625" style="171"/>
    <col min="4096" max="4096" width="46.85546875" style="171" customWidth="1"/>
    <col min="4097" max="4097" width="9.140625" style="171" customWidth="1"/>
    <col min="4098" max="4098" width="12.140625" style="171" bestFit="1" customWidth="1"/>
    <col min="4099" max="4099" width="10" style="171" bestFit="1" customWidth="1"/>
    <col min="4100" max="4351" width="9.140625" style="171"/>
    <col min="4352" max="4352" width="46.85546875" style="171" customWidth="1"/>
    <col min="4353" max="4353" width="9.140625" style="171" customWidth="1"/>
    <col min="4354" max="4354" width="12.140625" style="171" bestFit="1" customWidth="1"/>
    <col min="4355" max="4355" width="10" style="171" bestFit="1" customWidth="1"/>
    <col min="4356" max="4607" width="9.140625" style="171"/>
    <col min="4608" max="4608" width="46.85546875" style="171" customWidth="1"/>
    <col min="4609" max="4609" width="9.140625" style="171" customWidth="1"/>
    <col min="4610" max="4610" width="12.140625" style="171" bestFit="1" customWidth="1"/>
    <col min="4611" max="4611" width="10" style="171" bestFit="1" customWidth="1"/>
    <col min="4612" max="4863" width="9.140625" style="171"/>
    <col min="4864" max="4864" width="46.85546875" style="171" customWidth="1"/>
    <col min="4865" max="4865" width="9.140625" style="171" customWidth="1"/>
    <col min="4866" max="4866" width="12.140625" style="171" bestFit="1" customWidth="1"/>
    <col min="4867" max="4867" width="10" style="171" bestFit="1" customWidth="1"/>
    <col min="4868" max="5119" width="9.140625" style="171"/>
    <col min="5120" max="5120" width="46.85546875" style="171" customWidth="1"/>
    <col min="5121" max="5121" width="9.140625" style="171" customWidth="1"/>
    <col min="5122" max="5122" width="12.140625" style="171" bestFit="1" customWidth="1"/>
    <col min="5123" max="5123" width="10" style="171" bestFit="1" customWidth="1"/>
    <col min="5124" max="5375" width="9.140625" style="171"/>
    <col min="5376" max="5376" width="46.85546875" style="171" customWidth="1"/>
    <col min="5377" max="5377" width="9.140625" style="171" customWidth="1"/>
    <col min="5378" max="5378" width="12.140625" style="171" bestFit="1" customWidth="1"/>
    <col min="5379" max="5379" width="10" style="171" bestFit="1" customWidth="1"/>
    <col min="5380" max="5631" width="9.140625" style="171"/>
    <col min="5632" max="5632" width="46.85546875" style="171" customWidth="1"/>
    <col min="5633" max="5633" width="9.140625" style="171" customWidth="1"/>
    <col min="5634" max="5634" width="12.140625" style="171" bestFit="1" customWidth="1"/>
    <col min="5635" max="5635" width="10" style="171" bestFit="1" customWidth="1"/>
    <col min="5636" max="5887" width="9.140625" style="171"/>
    <col min="5888" max="5888" width="46.85546875" style="171" customWidth="1"/>
    <col min="5889" max="5889" width="9.140625" style="171" customWidth="1"/>
    <col min="5890" max="5890" width="12.140625" style="171" bestFit="1" customWidth="1"/>
    <col min="5891" max="5891" width="10" style="171" bestFit="1" customWidth="1"/>
    <col min="5892" max="6143" width="9.140625" style="171"/>
    <col min="6144" max="6144" width="46.85546875" style="171" customWidth="1"/>
    <col min="6145" max="6145" width="9.140625" style="171" customWidth="1"/>
    <col min="6146" max="6146" width="12.140625" style="171" bestFit="1" customWidth="1"/>
    <col min="6147" max="6147" width="10" style="171" bestFit="1" customWidth="1"/>
    <col min="6148" max="6399" width="9.140625" style="171"/>
    <col min="6400" max="6400" width="46.85546875" style="171" customWidth="1"/>
    <col min="6401" max="6401" width="9.140625" style="171" customWidth="1"/>
    <col min="6402" max="6402" width="12.140625" style="171" bestFit="1" customWidth="1"/>
    <col min="6403" max="6403" width="10" style="171" bestFit="1" customWidth="1"/>
    <col min="6404" max="6655" width="9.140625" style="171"/>
    <col min="6656" max="6656" width="46.85546875" style="171" customWidth="1"/>
    <col min="6657" max="6657" width="9.140625" style="171" customWidth="1"/>
    <col min="6658" max="6658" width="12.140625" style="171" bestFit="1" customWidth="1"/>
    <col min="6659" max="6659" width="10" style="171" bestFit="1" customWidth="1"/>
    <col min="6660" max="6911" width="9.140625" style="171"/>
    <col min="6912" max="6912" width="46.85546875" style="171" customWidth="1"/>
    <col min="6913" max="6913" width="9.140625" style="171" customWidth="1"/>
    <col min="6914" max="6914" width="12.140625" style="171" bestFit="1" customWidth="1"/>
    <col min="6915" max="6915" width="10" style="171" bestFit="1" customWidth="1"/>
    <col min="6916" max="7167" width="9.140625" style="171"/>
    <col min="7168" max="7168" width="46.85546875" style="171" customWidth="1"/>
    <col min="7169" max="7169" width="9.140625" style="171" customWidth="1"/>
    <col min="7170" max="7170" width="12.140625" style="171" bestFit="1" customWidth="1"/>
    <col min="7171" max="7171" width="10" style="171" bestFit="1" customWidth="1"/>
    <col min="7172" max="7423" width="9.140625" style="171"/>
    <col min="7424" max="7424" width="46.85546875" style="171" customWidth="1"/>
    <col min="7425" max="7425" width="9.140625" style="171" customWidth="1"/>
    <col min="7426" max="7426" width="12.140625" style="171" bestFit="1" customWidth="1"/>
    <col min="7427" max="7427" width="10" style="171" bestFit="1" customWidth="1"/>
    <col min="7428" max="7679" width="9.140625" style="171"/>
    <col min="7680" max="7680" width="46.85546875" style="171" customWidth="1"/>
    <col min="7681" max="7681" width="9.140625" style="171" customWidth="1"/>
    <col min="7682" max="7682" width="12.140625" style="171" bestFit="1" customWidth="1"/>
    <col min="7683" max="7683" width="10" style="171" bestFit="1" customWidth="1"/>
    <col min="7684" max="7935" width="9.140625" style="171"/>
    <col min="7936" max="7936" width="46.85546875" style="171" customWidth="1"/>
    <col min="7937" max="7937" width="9.140625" style="171" customWidth="1"/>
    <col min="7938" max="7938" width="12.140625" style="171" bestFit="1" customWidth="1"/>
    <col min="7939" max="7939" width="10" style="171" bestFit="1" customWidth="1"/>
    <col min="7940" max="8191" width="9.140625" style="171"/>
    <col min="8192" max="8192" width="46.85546875" style="171" customWidth="1"/>
    <col min="8193" max="8193" width="9.140625" style="171" customWidth="1"/>
    <col min="8194" max="8194" width="12.140625" style="171" bestFit="1" customWidth="1"/>
    <col min="8195" max="8195" width="10" style="171" bestFit="1" customWidth="1"/>
    <col min="8196" max="8447" width="9.140625" style="171"/>
    <col min="8448" max="8448" width="46.85546875" style="171" customWidth="1"/>
    <col min="8449" max="8449" width="9.140625" style="171" customWidth="1"/>
    <col min="8450" max="8450" width="12.140625" style="171" bestFit="1" customWidth="1"/>
    <col min="8451" max="8451" width="10" style="171" bestFit="1" customWidth="1"/>
    <col min="8452" max="8703" width="9.140625" style="171"/>
    <col min="8704" max="8704" width="46.85546875" style="171" customWidth="1"/>
    <col min="8705" max="8705" width="9.140625" style="171" customWidth="1"/>
    <col min="8706" max="8706" width="12.140625" style="171" bestFit="1" customWidth="1"/>
    <col min="8707" max="8707" width="10" style="171" bestFit="1" customWidth="1"/>
    <col min="8708" max="8959" width="9.140625" style="171"/>
    <col min="8960" max="8960" width="46.85546875" style="171" customWidth="1"/>
    <col min="8961" max="8961" width="9.140625" style="171" customWidth="1"/>
    <col min="8962" max="8962" width="12.140625" style="171" bestFit="1" customWidth="1"/>
    <col min="8963" max="8963" width="10" style="171" bestFit="1" customWidth="1"/>
    <col min="8964" max="9215" width="9.140625" style="171"/>
    <col min="9216" max="9216" width="46.85546875" style="171" customWidth="1"/>
    <col min="9217" max="9217" width="9.140625" style="171" customWidth="1"/>
    <col min="9218" max="9218" width="12.140625" style="171" bestFit="1" customWidth="1"/>
    <col min="9219" max="9219" width="10" style="171" bestFit="1" customWidth="1"/>
    <col min="9220" max="9471" width="9.140625" style="171"/>
    <col min="9472" max="9472" width="46.85546875" style="171" customWidth="1"/>
    <col min="9473" max="9473" width="9.140625" style="171" customWidth="1"/>
    <col min="9474" max="9474" width="12.140625" style="171" bestFit="1" customWidth="1"/>
    <col min="9475" max="9475" width="10" style="171" bestFit="1" customWidth="1"/>
    <col min="9476" max="9727" width="9.140625" style="171"/>
    <col min="9728" max="9728" width="46.85546875" style="171" customWidth="1"/>
    <col min="9729" max="9729" width="9.140625" style="171" customWidth="1"/>
    <col min="9730" max="9730" width="12.140625" style="171" bestFit="1" customWidth="1"/>
    <col min="9731" max="9731" width="10" style="171" bestFit="1" customWidth="1"/>
    <col min="9732" max="9983" width="9.140625" style="171"/>
    <col min="9984" max="9984" width="46.85546875" style="171" customWidth="1"/>
    <col min="9985" max="9985" width="9.140625" style="171" customWidth="1"/>
    <col min="9986" max="9986" width="12.140625" style="171" bestFit="1" customWidth="1"/>
    <col min="9987" max="9987" width="10" style="171" bestFit="1" customWidth="1"/>
    <col min="9988" max="10239" width="9.140625" style="171"/>
    <col min="10240" max="10240" width="46.85546875" style="171" customWidth="1"/>
    <col min="10241" max="10241" width="9.140625" style="171" customWidth="1"/>
    <col min="10242" max="10242" width="12.140625" style="171" bestFit="1" customWidth="1"/>
    <col min="10243" max="10243" width="10" style="171" bestFit="1" customWidth="1"/>
    <col min="10244" max="10495" width="9.140625" style="171"/>
    <col min="10496" max="10496" width="46.85546875" style="171" customWidth="1"/>
    <col min="10497" max="10497" width="9.140625" style="171" customWidth="1"/>
    <col min="10498" max="10498" width="12.140625" style="171" bestFit="1" customWidth="1"/>
    <col min="10499" max="10499" width="10" style="171" bestFit="1" customWidth="1"/>
    <col min="10500" max="10751" width="9.140625" style="171"/>
    <col min="10752" max="10752" width="46.85546875" style="171" customWidth="1"/>
    <col min="10753" max="10753" width="9.140625" style="171" customWidth="1"/>
    <col min="10754" max="10754" width="12.140625" style="171" bestFit="1" customWidth="1"/>
    <col min="10755" max="10755" width="10" style="171" bestFit="1" customWidth="1"/>
    <col min="10756" max="11007" width="9.140625" style="171"/>
    <col min="11008" max="11008" width="46.85546875" style="171" customWidth="1"/>
    <col min="11009" max="11009" width="9.140625" style="171" customWidth="1"/>
    <col min="11010" max="11010" width="12.140625" style="171" bestFit="1" customWidth="1"/>
    <col min="11011" max="11011" width="10" style="171" bestFit="1" customWidth="1"/>
    <col min="11012" max="11263" width="9.140625" style="171"/>
    <col min="11264" max="11264" width="46.85546875" style="171" customWidth="1"/>
    <col min="11265" max="11265" width="9.140625" style="171" customWidth="1"/>
    <col min="11266" max="11266" width="12.140625" style="171" bestFit="1" customWidth="1"/>
    <col min="11267" max="11267" width="10" style="171" bestFit="1" customWidth="1"/>
    <col min="11268" max="11519" width="9.140625" style="171"/>
    <col min="11520" max="11520" width="46.85546875" style="171" customWidth="1"/>
    <col min="11521" max="11521" width="9.140625" style="171" customWidth="1"/>
    <col min="11522" max="11522" width="12.140625" style="171" bestFit="1" customWidth="1"/>
    <col min="11523" max="11523" width="10" style="171" bestFit="1" customWidth="1"/>
    <col min="11524" max="11775" width="9.140625" style="171"/>
    <col min="11776" max="11776" width="46.85546875" style="171" customWidth="1"/>
    <col min="11777" max="11777" width="9.140625" style="171" customWidth="1"/>
    <col min="11778" max="11778" width="12.140625" style="171" bestFit="1" customWidth="1"/>
    <col min="11779" max="11779" width="10" style="171" bestFit="1" customWidth="1"/>
    <col min="11780" max="12031" width="9.140625" style="171"/>
    <col min="12032" max="12032" width="46.85546875" style="171" customWidth="1"/>
    <col min="12033" max="12033" width="9.140625" style="171" customWidth="1"/>
    <col min="12034" max="12034" width="12.140625" style="171" bestFit="1" customWidth="1"/>
    <col min="12035" max="12035" width="10" style="171" bestFit="1" customWidth="1"/>
    <col min="12036" max="12287" width="9.140625" style="171"/>
    <col min="12288" max="12288" width="46.85546875" style="171" customWidth="1"/>
    <col min="12289" max="12289" width="9.140625" style="171" customWidth="1"/>
    <col min="12290" max="12290" width="12.140625" style="171" bestFit="1" customWidth="1"/>
    <col min="12291" max="12291" width="10" style="171" bestFit="1" customWidth="1"/>
    <col min="12292" max="12543" width="9.140625" style="171"/>
    <col min="12544" max="12544" width="46.85546875" style="171" customWidth="1"/>
    <col min="12545" max="12545" width="9.140625" style="171" customWidth="1"/>
    <col min="12546" max="12546" width="12.140625" style="171" bestFit="1" customWidth="1"/>
    <col min="12547" max="12547" width="10" style="171" bestFit="1" customWidth="1"/>
    <col min="12548" max="12799" width="9.140625" style="171"/>
    <col min="12800" max="12800" width="46.85546875" style="171" customWidth="1"/>
    <col min="12801" max="12801" width="9.140625" style="171" customWidth="1"/>
    <col min="12802" max="12802" width="12.140625" style="171" bestFit="1" customWidth="1"/>
    <col min="12803" max="12803" width="10" style="171" bestFit="1" customWidth="1"/>
    <col min="12804" max="13055" width="9.140625" style="171"/>
    <col min="13056" max="13056" width="46.85546875" style="171" customWidth="1"/>
    <col min="13057" max="13057" width="9.140625" style="171" customWidth="1"/>
    <col min="13058" max="13058" width="12.140625" style="171" bestFit="1" customWidth="1"/>
    <col min="13059" max="13059" width="10" style="171" bestFit="1" customWidth="1"/>
    <col min="13060" max="13311" width="9.140625" style="171"/>
    <col min="13312" max="13312" width="46.85546875" style="171" customWidth="1"/>
    <col min="13313" max="13313" width="9.140625" style="171" customWidth="1"/>
    <col min="13314" max="13314" width="12.140625" style="171" bestFit="1" customWidth="1"/>
    <col min="13315" max="13315" width="10" style="171" bestFit="1" customWidth="1"/>
    <col min="13316" max="13567" width="9.140625" style="171"/>
    <col min="13568" max="13568" width="46.85546875" style="171" customWidth="1"/>
    <col min="13569" max="13569" width="9.140625" style="171" customWidth="1"/>
    <col min="13570" max="13570" width="12.140625" style="171" bestFit="1" customWidth="1"/>
    <col min="13571" max="13571" width="10" style="171" bestFit="1" customWidth="1"/>
    <col min="13572" max="13823" width="9.140625" style="171"/>
    <col min="13824" max="13824" width="46.85546875" style="171" customWidth="1"/>
    <col min="13825" max="13825" width="9.140625" style="171" customWidth="1"/>
    <col min="13826" max="13826" width="12.140625" style="171" bestFit="1" customWidth="1"/>
    <col min="13827" max="13827" width="10" style="171" bestFit="1" customWidth="1"/>
    <col min="13828" max="14079" width="9.140625" style="171"/>
    <col min="14080" max="14080" width="46.85546875" style="171" customWidth="1"/>
    <col min="14081" max="14081" width="9.140625" style="171" customWidth="1"/>
    <col min="14082" max="14082" width="12.140625" style="171" bestFit="1" customWidth="1"/>
    <col min="14083" max="14083" width="10" style="171" bestFit="1" customWidth="1"/>
    <col min="14084" max="14335" width="9.140625" style="171"/>
    <col min="14336" max="14336" width="46.85546875" style="171" customWidth="1"/>
    <col min="14337" max="14337" width="9.140625" style="171" customWidth="1"/>
    <col min="14338" max="14338" width="12.140625" style="171" bestFit="1" customWidth="1"/>
    <col min="14339" max="14339" width="10" style="171" bestFit="1" customWidth="1"/>
    <col min="14340" max="14591" width="9.140625" style="171"/>
    <col min="14592" max="14592" width="46.85546875" style="171" customWidth="1"/>
    <col min="14593" max="14593" width="9.140625" style="171" customWidth="1"/>
    <col min="14594" max="14594" width="12.140625" style="171" bestFit="1" customWidth="1"/>
    <col min="14595" max="14595" width="10" style="171" bestFit="1" customWidth="1"/>
    <col min="14596" max="14847" width="9.140625" style="171"/>
    <col min="14848" max="14848" width="46.85546875" style="171" customWidth="1"/>
    <col min="14849" max="14849" width="9.140625" style="171" customWidth="1"/>
    <col min="14850" max="14850" width="12.140625" style="171" bestFit="1" customWidth="1"/>
    <col min="14851" max="14851" width="10" style="171" bestFit="1" customWidth="1"/>
    <col min="14852" max="15103" width="9.140625" style="171"/>
    <col min="15104" max="15104" width="46.85546875" style="171" customWidth="1"/>
    <col min="15105" max="15105" width="9.140625" style="171" customWidth="1"/>
    <col min="15106" max="15106" width="12.140625" style="171" bestFit="1" customWidth="1"/>
    <col min="15107" max="15107" width="10" style="171" bestFit="1" customWidth="1"/>
    <col min="15108" max="15359" width="9.140625" style="171"/>
    <col min="15360" max="15360" width="46.85546875" style="171" customWidth="1"/>
    <col min="15361" max="15361" width="9.140625" style="171" customWidth="1"/>
    <col min="15362" max="15362" width="12.140625" style="171" bestFit="1" customWidth="1"/>
    <col min="15363" max="15363" width="10" style="171" bestFit="1" customWidth="1"/>
    <col min="15364" max="15615" width="9.140625" style="171"/>
    <col min="15616" max="15616" width="46.85546875" style="171" customWidth="1"/>
    <col min="15617" max="15617" width="9.140625" style="171" customWidth="1"/>
    <col min="15618" max="15618" width="12.140625" style="171" bestFit="1" customWidth="1"/>
    <col min="15619" max="15619" width="10" style="171" bestFit="1" customWidth="1"/>
    <col min="15620" max="15871" width="9.140625" style="171"/>
    <col min="15872" max="15872" width="46.85546875" style="171" customWidth="1"/>
    <col min="15873" max="15873" width="9.140625" style="171" customWidth="1"/>
    <col min="15874" max="15874" width="12.140625" style="171" bestFit="1" customWidth="1"/>
    <col min="15875" max="15875" width="10" style="171" bestFit="1" customWidth="1"/>
    <col min="15876" max="16127" width="9.140625" style="171"/>
    <col min="16128" max="16128" width="46.85546875" style="171" customWidth="1"/>
    <col min="16129" max="16129" width="9.140625" style="171" customWidth="1"/>
    <col min="16130" max="16130" width="12.140625" style="171" bestFit="1" customWidth="1"/>
    <col min="16131" max="16131" width="10" style="171" bestFit="1" customWidth="1"/>
    <col min="16132" max="16384" width="9.140625" style="171"/>
  </cols>
  <sheetData>
    <row r="1" spans="1:2">
      <c r="A1" s="374" t="s">
        <v>223</v>
      </c>
      <c r="B1" s="374"/>
    </row>
    <row r="2" spans="1:2">
      <c r="A2" s="339" t="s">
        <v>224</v>
      </c>
      <c r="B2" s="340">
        <f>SUM(B3:B13)</f>
        <v>11</v>
      </c>
    </row>
    <row r="3" spans="1:2">
      <c r="A3" s="175" t="s">
        <v>206</v>
      </c>
      <c r="B3" s="173">
        <v>1</v>
      </c>
    </row>
    <row r="4" spans="1:2">
      <c r="A4" s="175" t="s">
        <v>207</v>
      </c>
      <c r="B4" s="173">
        <v>1</v>
      </c>
    </row>
    <row r="5" spans="1:2">
      <c r="A5" s="175" t="s">
        <v>208</v>
      </c>
      <c r="B5" s="173">
        <v>1</v>
      </c>
    </row>
    <row r="6" spans="1:2">
      <c r="A6" s="175" t="s">
        <v>238</v>
      </c>
      <c r="B6" s="173">
        <v>1</v>
      </c>
    </row>
    <row r="7" spans="1:2">
      <c r="A7" s="175" t="s">
        <v>239</v>
      </c>
      <c r="B7" s="173">
        <v>1</v>
      </c>
    </row>
    <row r="8" spans="1:2">
      <c r="A8" s="175" t="s">
        <v>209</v>
      </c>
      <c r="B8" s="173">
        <v>1</v>
      </c>
    </row>
    <row r="9" spans="1:2">
      <c r="A9" s="175" t="s">
        <v>210</v>
      </c>
      <c r="B9" s="173">
        <v>1</v>
      </c>
    </row>
    <row r="10" spans="1:2">
      <c r="A10" s="175" t="s">
        <v>222</v>
      </c>
      <c r="B10" s="173">
        <v>1</v>
      </c>
    </row>
    <row r="11" spans="1:2">
      <c r="A11" s="175" t="s">
        <v>211</v>
      </c>
      <c r="B11" s="173">
        <v>1</v>
      </c>
    </row>
    <row r="12" spans="1:2">
      <c r="A12" s="175" t="s">
        <v>212</v>
      </c>
      <c r="B12" s="173">
        <v>1</v>
      </c>
    </row>
    <row r="13" spans="1:2">
      <c r="A13" s="175" t="s">
        <v>213</v>
      </c>
      <c r="B13" s="173">
        <v>1</v>
      </c>
    </row>
    <row r="14" spans="1:2">
      <c r="A14" s="172" t="s">
        <v>214</v>
      </c>
      <c r="B14" s="174">
        <f>B15+B16</f>
        <v>2</v>
      </c>
    </row>
    <row r="15" spans="1:2">
      <c r="A15" s="176" t="s">
        <v>351</v>
      </c>
      <c r="B15" s="173">
        <v>1</v>
      </c>
    </row>
    <row r="16" spans="1:2">
      <c r="A16" s="176" t="s">
        <v>352</v>
      </c>
      <c r="B16" s="173">
        <v>1</v>
      </c>
    </row>
    <row r="17" spans="1:2">
      <c r="A17" s="172" t="s">
        <v>215</v>
      </c>
      <c r="B17" s="174">
        <f>B2+B14</f>
        <v>13</v>
      </c>
    </row>
    <row r="18" spans="1:2">
      <c r="A18" s="176" t="s">
        <v>225</v>
      </c>
      <c r="B18" s="177">
        <v>1</v>
      </c>
    </row>
    <row r="19" spans="1:2">
      <c r="A19" s="178" t="s">
        <v>240</v>
      </c>
      <c r="B19" s="179">
        <f>B17-B18</f>
        <v>12</v>
      </c>
    </row>
  </sheetData>
  <mergeCells count="1">
    <mergeCell ref="A1:B1"/>
  </mergeCells>
  <pageMargins left="0.78740157480314965" right="0" top="0.39370078740157483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2"/>
  <sheetViews>
    <sheetView workbookViewId="0">
      <selection sqref="A1:C1"/>
    </sheetView>
  </sheetViews>
  <sheetFormatPr defaultRowHeight="12.75"/>
  <cols>
    <col min="1" max="1" width="13.5703125" style="1" customWidth="1"/>
    <col min="2" max="2" width="39.5703125" style="1" bestFit="1" customWidth="1"/>
    <col min="3" max="3" width="14.5703125" style="1" customWidth="1"/>
    <col min="4" max="4" width="37.28515625" style="78" customWidth="1"/>
    <col min="5" max="10" width="9.140625" style="1"/>
    <col min="11" max="11" width="11" style="1" bestFit="1" customWidth="1"/>
    <col min="12" max="16384" width="9.140625" style="1"/>
  </cols>
  <sheetData>
    <row r="1" spans="1:12" ht="18">
      <c r="A1" s="375" t="s">
        <v>175</v>
      </c>
      <c r="B1" s="376"/>
      <c r="C1" s="377"/>
      <c r="D1" s="71"/>
      <c r="E1" s="71"/>
      <c r="F1" s="71"/>
    </row>
    <row r="2" spans="1:12" ht="14.25">
      <c r="A2" s="85" t="s">
        <v>106</v>
      </c>
      <c r="B2" s="86" t="s">
        <v>107</v>
      </c>
      <c r="C2" s="87" t="s">
        <v>108</v>
      </c>
      <c r="D2" s="88"/>
    </row>
    <row r="3" spans="1:12" ht="14.25">
      <c r="A3" s="85" t="s">
        <v>109</v>
      </c>
      <c r="B3" s="86" t="s">
        <v>32</v>
      </c>
      <c r="C3" s="89">
        <v>0.2</v>
      </c>
      <c r="D3" s="88"/>
      <c r="F3" s="78"/>
      <c r="G3" s="78"/>
      <c r="H3" s="78"/>
      <c r="I3" s="78"/>
      <c r="J3" s="78"/>
      <c r="K3" s="78"/>
      <c r="L3" s="78"/>
    </row>
    <row r="4" spans="1:12" ht="14.25">
      <c r="A4" s="85" t="s">
        <v>110</v>
      </c>
      <c r="B4" s="86" t="s">
        <v>111</v>
      </c>
      <c r="C4" s="89">
        <v>1.4999999999999999E-2</v>
      </c>
      <c r="D4" s="88"/>
      <c r="F4" s="78"/>
      <c r="G4" s="78"/>
      <c r="H4" s="78"/>
      <c r="I4" s="78"/>
      <c r="J4" s="78"/>
      <c r="K4" s="78"/>
      <c r="L4" s="78"/>
    </row>
    <row r="5" spans="1:12" ht="14.25">
      <c r="A5" s="85" t="s">
        <v>112</v>
      </c>
      <c r="B5" s="86" t="s">
        <v>113</v>
      </c>
      <c r="C5" s="89">
        <v>0.01</v>
      </c>
      <c r="D5" s="88"/>
      <c r="F5" s="78"/>
      <c r="G5" s="78"/>
      <c r="H5" s="78"/>
      <c r="I5" s="78"/>
      <c r="J5" s="78"/>
      <c r="K5" s="78"/>
      <c r="L5" s="78"/>
    </row>
    <row r="6" spans="1:12" ht="14.25">
      <c r="A6" s="85" t="s">
        <v>114</v>
      </c>
      <c r="B6" s="86" t="s">
        <v>115</v>
      </c>
      <c r="C6" s="89">
        <v>2E-3</v>
      </c>
      <c r="D6" s="88"/>
      <c r="F6" s="78"/>
      <c r="G6" s="78"/>
      <c r="H6" s="78"/>
      <c r="I6" s="78"/>
      <c r="J6" s="78"/>
      <c r="K6" s="78"/>
      <c r="L6" s="78"/>
    </row>
    <row r="7" spans="1:12" ht="14.25">
      <c r="A7" s="85" t="s">
        <v>116</v>
      </c>
      <c r="B7" s="86" t="s">
        <v>117</v>
      </c>
      <c r="C7" s="89">
        <v>6.0000000000000001E-3</v>
      </c>
      <c r="D7" s="88"/>
      <c r="F7" s="78"/>
      <c r="G7" s="78"/>
      <c r="H7" s="78"/>
      <c r="I7" s="78"/>
      <c r="J7" s="78"/>
      <c r="K7" s="78"/>
      <c r="L7" s="78"/>
    </row>
    <row r="8" spans="1:12" ht="14.25">
      <c r="A8" s="85" t="s">
        <v>118</v>
      </c>
      <c r="B8" s="86" t="s">
        <v>119</v>
      </c>
      <c r="C8" s="89">
        <v>2.5000000000000001E-2</v>
      </c>
      <c r="D8" s="88"/>
      <c r="F8" s="78"/>
      <c r="G8" s="78"/>
      <c r="H8" s="78"/>
      <c r="I8" s="78"/>
      <c r="J8" s="78"/>
      <c r="K8" s="78"/>
      <c r="L8" s="78"/>
    </row>
    <row r="9" spans="1:12" ht="14.25">
      <c r="A9" s="85" t="s">
        <v>120</v>
      </c>
      <c r="B9" s="86" t="s">
        <v>121</v>
      </c>
      <c r="C9" s="89">
        <v>0.03</v>
      </c>
      <c r="D9" s="88"/>
      <c r="F9" s="78"/>
      <c r="G9" s="78"/>
      <c r="H9" s="78"/>
      <c r="I9" s="78"/>
      <c r="J9" s="78"/>
      <c r="K9" s="78"/>
      <c r="L9" s="78"/>
    </row>
    <row r="10" spans="1:12" ht="14.25">
      <c r="A10" s="85" t="s">
        <v>122</v>
      </c>
      <c r="B10" s="86" t="s">
        <v>33</v>
      </c>
      <c r="C10" s="89">
        <v>0.08</v>
      </c>
      <c r="D10" s="90"/>
      <c r="F10" s="78"/>
      <c r="G10" s="78"/>
      <c r="H10" s="78"/>
      <c r="I10" s="78"/>
      <c r="J10" s="78"/>
      <c r="K10" s="78"/>
      <c r="L10" s="78"/>
    </row>
    <row r="11" spans="1:12" ht="15">
      <c r="A11" s="85" t="s">
        <v>123</v>
      </c>
      <c r="B11" s="91" t="s">
        <v>124</v>
      </c>
      <c r="C11" s="92">
        <f>SUM(C3:C10)</f>
        <v>0.36800000000000005</v>
      </c>
      <c r="D11" s="90"/>
      <c r="F11" s="78"/>
      <c r="G11" s="78"/>
      <c r="H11" s="78"/>
      <c r="I11" s="78"/>
      <c r="J11" s="78"/>
      <c r="K11" s="78"/>
      <c r="L11" s="78"/>
    </row>
    <row r="12" spans="1:12" ht="15">
      <c r="A12" s="93"/>
      <c r="B12" s="94"/>
      <c r="C12" s="95"/>
      <c r="D12" s="90"/>
      <c r="F12" s="78"/>
      <c r="G12" s="78"/>
      <c r="H12" s="78"/>
      <c r="I12" s="78"/>
      <c r="J12" s="78"/>
      <c r="K12" s="78"/>
      <c r="L12" s="78"/>
    </row>
    <row r="13" spans="1:12" ht="14.25">
      <c r="A13" s="85" t="s">
        <v>125</v>
      </c>
      <c r="B13" s="96" t="s">
        <v>126</v>
      </c>
      <c r="C13" s="89">
        <f>ROUND(IF('3.CAGED'!B26&gt;24,(1-12/'3.CAGED'!B26)*0.1111,0.1111-C22),4)</f>
        <v>6.5699999999999995E-2</v>
      </c>
      <c r="D13" s="90"/>
      <c r="F13" s="78"/>
      <c r="G13" s="78"/>
      <c r="H13" s="78"/>
      <c r="I13" s="78"/>
      <c r="J13" s="78"/>
      <c r="K13" s="78"/>
      <c r="L13" s="78"/>
    </row>
    <row r="14" spans="1:12" ht="14.25">
      <c r="A14" s="85" t="s">
        <v>127</v>
      </c>
      <c r="B14" s="96" t="s">
        <v>128</v>
      </c>
      <c r="C14" s="89">
        <f>ROUND('3.CAGED'!B30/'3.CAGED'!B27,4)</f>
        <v>8.3299999999999999E-2</v>
      </c>
      <c r="D14" s="90"/>
      <c r="F14" s="78"/>
      <c r="G14" s="78"/>
      <c r="H14" s="78"/>
      <c r="I14" s="78"/>
      <c r="J14" s="78"/>
      <c r="K14" s="78"/>
      <c r="L14" s="78"/>
    </row>
    <row r="15" spans="1:12" ht="14.25">
      <c r="A15" s="85" t="s">
        <v>168</v>
      </c>
      <c r="B15" s="96" t="s">
        <v>130</v>
      </c>
      <c r="C15" s="89">
        <v>5.9999999999999995E-4</v>
      </c>
      <c r="D15" s="90"/>
      <c r="F15" s="78"/>
      <c r="G15" s="78"/>
      <c r="H15" s="78"/>
      <c r="I15" s="78"/>
      <c r="J15" s="78"/>
      <c r="K15" s="78"/>
      <c r="L15" s="78"/>
    </row>
    <row r="16" spans="1:12" ht="14.25">
      <c r="A16" s="85" t="s">
        <v>129</v>
      </c>
      <c r="B16" s="96" t="s">
        <v>132</v>
      </c>
      <c r="C16" s="89">
        <v>8.2000000000000007E-3</v>
      </c>
      <c r="D16" s="90"/>
      <c r="F16" s="78"/>
      <c r="G16" s="78"/>
      <c r="H16" s="78"/>
      <c r="I16" s="78"/>
      <c r="J16" s="78"/>
      <c r="K16" s="78"/>
      <c r="L16" s="78"/>
    </row>
    <row r="17" spans="1:12" ht="14.25">
      <c r="A17" s="85" t="s">
        <v>131</v>
      </c>
      <c r="B17" s="96" t="s">
        <v>134</v>
      </c>
      <c r="C17" s="89">
        <v>3.0999999999999999E-3</v>
      </c>
      <c r="D17" s="90"/>
      <c r="F17" s="78"/>
      <c r="G17" s="78"/>
      <c r="H17" s="78"/>
      <c r="I17" s="78"/>
      <c r="J17" s="78"/>
      <c r="K17" s="78"/>
      <c r="L17" s="78"/>
    </row>
    <row r="18" spans="1:12" ht="14.25">
      <c r="A18" s="85" t="s">
        <v>133</v>
      </c>
      <c r="B18" s="96" t="s">
        <v>135</v>
      </c>
      <c r="C18" s="89">
        <v>1.66E-2</v>
      </c>
      <c r="D18" s="90"/>
      <c r="F18" s="78"/>
      <c r="G18" s="78"/>
      <c r="H18" s="78"/>
      <c r="I18" s="78"/>
      <c r="J18" s="78"/>
      <c r="K18" s="78"/>
      <c r="L18" s="78"/>
    </row>
    <row r="19" spans="1:12" ht="15">
      <c r="A19" s="85" t="s">
        <v>136</v>
      </c>
      <c r="B19" s="91" t="s">
        <v>137</v>
      </c>
      <c r="C19" s="92">
        <f>SUM(C13:C18)</f>
        <v>0.17749999999999999</v>
      </c>
      <c r="D19" s="97"/>
      <c r="F19" s="78"/>
      <c r="G19" s="78"/>
      <c r="H19" s="78"/>
      <c r="I19" s="78"/>
      <c r="J19" s="78"/>
      <c r="K19" s="78"/>
      <c r="L19" s="78"/>
    </row>
    <row r="20" spans="1:12" ht="15">
      <c r="A20" s="93"/>
      <c r="B20" s="94"/>
      <c r="C20" s="95"/>
      <c r="D20" s="97"/>
      <c r="F20" s="78"/>
      <c r="G20" s="78"/>
      <c r="H20" s="78"/>
      <c r="I20" s="78"/>
      <c r="J20" s="78"/>
      <c r="K20" s="78"/>
      <c r="L20" s="78"/>
    </row>
    <row r="21" spans="1:12" ht="14.25">
      <c r="A21" s="85" t="s">
        <v>138</v>
      </c>
      <c r="B21" s="86" t="s">
        <v>139</v>
      </c>
      <c r="C21" s="89">
        <f>ROUND(('3.CAGED'!B31) *'3.CAGED'!B24/'3.CAGED'!B27,4)</f>
        <v>2.9000000000000001E-2</v>
      </c>
      <c r="D21" s="90"/>
      <c r="E21" s="98"/>
      <c r="F21" s="78"/>
      <c r="G21" s="78"/>
      <c r="H21" s="78"/>
      <c r="I21" s="78"/>
      <c r="J21" s="78"/>
      <c r="K21" s="78"/>
      <c r="L21" s="78"/>
    </row>
    <row r="22" spans="1:12" ht="14.25">
      <c r="A22" s="85" t="s">
        <v>167</v>
      </c>
      <c r="B22" s="86" t="s">
        <v>141</v>
      </c>
      <c r="C22" s="89">
        <f>ROUND(IF('3.CAGED'!B26&gt;12,12/'3.CAGED'!B26*0.1111,0.1111),4)</f>
        <v>4.5400000000000003E-2</v>
      </c>
      <c r="D22" s="90"/>
      <c r="F22" s="78"/>
      <c r="G22" s="78"/>
      <c r="H22" s="99"/>
      <c r="I22" s="78"/>
      <c r="J22" s="78"/>
      <c r="K22" s="78"/>
      <c r="L22" s="78"/>
    </row>
    <row r="23" spans="1:12" ht="14.25">
      <c r="A23" s="85" t="s">
        <v>140</v>
      </c>
      <c r="B23" s="86" t="s">
        <v>143</v>
      </c>
      <c r="C23" s="89">
        <f>C21*C22</f>
        <v>1.3166000000000002E-3</v>
      </c>
      <c r="D23" s="90"/>
      <c r="E23" s="98"/>
      <c r="F23" s="78"/>
      <c r="G23" s="78"/>
      <c r="H23" s="78"/>
      <c r="I23" s="78"/>
      <c r="J23" s="78"/>
      <c r="K23" s="78"/>
      <c r="L23" s="78"/>
    </row>
    <row r="24" spans="1:12" ht="14.25">
      <c r="A24" s="85" t="s">
        <v>142</v>
      </c>
      <c r="B24" s="86" t="s">
        <v>145</v>
      </c>
      <c r="C24" s="89">
        <f>ROUND(('3.CAGED'!B27+'3.CAGED'!B28+'3.CAGED'!B30)/'3.CAGED'!B25*'3.CAGED'!B32*'3.CAGED'!B33*'3.CAGED'!B24/'3.CAGED'!B27,4)</f>
        <v>3.15E-2</v>
      </c>
      <c r="D24" s="90"/>
      <c r="F24" s="78"/>
      <c r="G24" s="100"/>
      <c r="H24" s="78"/>
      <c r="I24" s="78"/>
      <c r="J24" s="78"/>
      <c r="K24" s="78"/>
      <c r="L24" s="78"/>
    </row>
    <row r="25" spans="1:12" ht="14.25">
      <c r="A25" s="85" t="s">
        <v>144</v>
      </c>
      <c r="B25" s="86" t="s">
        <v>146</v>
      </c>
      <c r="C25" s="89">
        <f>ROUND(('3.CAGED'!B29/'3.CAGED'!B27)*'3.CAGED'!B24/12,4)</f>
        <v>2E-3</v>
      </c>
      <c r="D25" s="90"/>
      <c r="F25" s="78"/>
      <c r="G25" s="78"/>
      <c r="H25" s="78"/>
      <c r="I25" s="78"/>
      <c r="J25" s="78"/>
      <c r="K25" s="78"/>
      <c r="L25" s="78"/>
    </row>
    <row r="26" spans="1:12" ht="15">
      <c r="A26" s="85" t="s">
        <v>147</v>
      </c>
      <c r="B26" s="91" t="s">
        <v>148</v>
      </c>
      <c r="C26" s="92">
        <f>SUM(C21:C25)</f>
        <v>0.10921660000000001</v>
      </c>
      <c r="D26" s="97"/>
      <c r="F26" s="78"/>
      <c r="G26" s="78"/>
      <c r="H26" s="78"/>
      <c r="I26" s="78"/>
      <c r="J26" s="78"/>
      <c r="K26" s="78"/>
      <c r="L26" s="78"/>
    </row>
    <row r="27" spans="1:12" ht="15">
      <c r="A27" s="93"/>
      <c r="B27" s="94"/>
      <c r="C27" s="95"/>
      <c r="D27" s="97"/>
      <c r="F27" s="78"/>
      <c r="G27" s="78"/>
      <c r="H27" s="78"/>
      <c r="I27" s="78"/>
      <c r="J27" s="78"/>
      <c r="K27" s="78"/>
      <c r="L27" s="78"/>
    </row>
    <row r="28" spans="1:12" ht="14.25">
      <c r="A28" s="85" t="s">
        <v>149</v>
      </c>
      <c r="B28" s="86" t="s">
        <v>150</v>
      </c>
      <c r="C28" s="89">
        <f>ROUND(C11*C19,4)</f>
        <v>6.5299999999999997E-2</v>
      </c>
      <c r="D28" s="90"/>
      <c r="F28" s="78"/>
      <c r="G28" s="78"/>
      <c r="H28" s="78"/>
      <c r="I28" s="78"/>
      <c r="J28" s="78"/>
      <c r="K28" s="78"/>
      <c r="L28" s="78"/>
    </row>
    <row r="29" spans="1:12" ht="28.5">
      <c r="A29" s="85" t="s">
        <v>151</v>
      </c>
      <c r="B29" s="101" t="s">
        <v>197</v>
      </c>
      <c r="C29" s="89">
        <f>ROUND((C21*C10),4)</f>
        <v>2.3E-3</v>
      </c>
      <c r="D29" s="90"/>
      <c r="F29" s="78"/>
      <c r="G29" s="78"/>
      <c r="H29" s="78"/>
      <c r="I29" s="78"/>
      <c r="J29" s="78"/>
      <c r="K29" s="78"/>
      <c r="L29" s="78"/>
    </row>
    <row r="30" spans="1:12" ht="15">
      <c r="A30" s="85" t="s">
        <v>152</v>
      </c>
      <c r="B30" s="91" t="s">
        <v>153</v>
      </c>
      <c r="C30" s="92">
        <f>SUM(C28:C29)</f>
        <v>6.7599999999999993E-2</v>
      </c>
      <c r="D30" s="102"/>
      <c r="F30" s="78"/>
      <c r="G30" s="78"/>
      <c r="H30" s="78"/>
      <c r="I30" s="78"/>
      <c r="J30" s="78"/>
      <c r="K30" s="78"/>
      <c r="L30" s="78"/>
    </row>
    <row r="31" spans="1:12" ht="15.75" thickBot="1">
      <c r="A31" s="103"/>
      <c r="B31" s="104" t="s">
        <v>154</v>
      </c>
      <c r="C31" s="105">
        <f>C30+C26+C19+C11</f>
        <v>0.72231660000000009</v>
      </c>
      <c r="D31" s="102"/>
      <c r="F31" s="78"/>
      <c r="G31" s="78"/>
      <c r="H31" s="78"/>
      <c r="I31" s="78"/>
      <c r="J31" s="78"/>
      <c r="K31" s="78"/>
      <c r="L31" s="78"/>
    </row>
    <row r="32" spans="1:12" ht="15">
      <c r="A32" s="90"/>
      <c r="B32" s="106"/>
      <c r="C32" s="107"/>
      <c r="D32" s="108"/>
      <c r="F32" s="78"/>
      <c r="G32" s="78"/>
      <c r="H32" s="78"/>
      <c r="I32" s="78"/>
      <c r="J32" s="78"/>
      <c r="K32" s="78"/>
      <c r="L32" s="78"/>
    </row>
    <row r="33" spans="1:12" ht="14.25">
      <c r="A33" s="90"/>
      <c r="B33" s="90"/>
      <c r="C33" s="109"/>
      <c r="D33" s="110"/>
      <c r="F33" s="78"/>
      <c r="G33" s="78"/>
      <c r="H33" s="78"/>
      <c r="I33" s="78"/>
      <c r="J33" s="78"/>
      <c r="K33" s="78"/>
      <c r="L33" s="78"/>
    </row>
    <row r="34" spans="1:12" ht="14.25">
      <c r="A34" s="88"/>
      <c r="B34" s="88"/>
      <c r="C34" s="111"/>
      <c r="D34" s="88"/>
      <c r="F34" s="78"/>
      <c r="G34" s="78"/>
      <c r="H34" s="78"/>
      <c r="I34" s="78"/>
      <c r="J34" s="78"/>
      <c r="K34" s="78"/>
      <c r="L34" s="78"/>
    </row>
    <row r="35" spans="1:12" ht="14.25">
      <c r="A35" s="88"/>
      <c r="B35" s="88"/>
      <c r="C35" s="111"/>
      <c r="D35" s="88"/>
      <c r="F35" s="78"/>
      <c r="G35" s="78"/>
      <c r="H35" s="78"/>
      <c r="I35" s="78"/>
      <c r="J35" s="78"/>
      <c r="K35" s="78"/>
      <c r="L35" s="78"/>
    </row>
    <row r="36" spans="1:12" ht="14.25">
      <c r="A36" s="88"/>
      <c r="B36" s="88"/>
      <c r="C36" s="111"/>
      <c r="D36" s="88"/>
      <c r="F36" s="78"/>
      <c r="G36" s="78"/>
      <c r="H36" s="78"/>
      <c r="I36" s="78"/>
      <c r="J36" s="78"/>
      <c r="K36" s="78"/>
      <c r="L36" s="78"/>
    </row>
    <row r="37" spans="1:12" ht="15">
      <c r="A37" s="88"/>
      <c r="B37" s="112"/>
      <c r="C37" s="113"/>
      <c r="D37" s="88"/>
      <c r="F37" s="78"/>
      <c r="G37" s="78"/>
      <c r="H37" s="78"/>
      <c r="I37" s="78"/>
      <c r="J37" s="78"/>
      <c r="K37" s="78"/>
      <c r="L37" s="78"/>
    </row>
    <row r="38" spans="1:12" ht="15">
      <c r="A38" s="102"/>
      <c r="B38" s="112"/>
      <c r="C38" s="113"/>
      <c r="D38" s="102"/>
      <c r="E38" s="78"/>
      <c r="F38" s="78"/>
      <c r="G38" s="78"/>
      <c r="H38" s="78"/>
      <c r="I38" s="78"/>
      <c r="J38" s="78"/>
      <c r="K38" s="78"/>
      <c r="L38" s="78"/>
    </row>
    <row r="39" spans="1:12" ht="16.5">
      <c r="A39" s="114"/>
      <c r="B39" s="78"/>
      <c r="C39" s="78"/>
      <c r="E39" s="78"/>
      <c r="F39" s="78"/>
      <c r="G39" s="78"/>
      <c r="H39" s="78"/>
      <c r="I39" s="78"/>
      <c r="J39" s="78"/>
      <c r="K39" s="78"/>
      <c r="L39" s="78"/>
    </row>
    <row r="40" spans="1:12">
      <c r="A40" s="115"/>
      <c r="B40" s="116"/>
      <c r="C40" s="116"/>
      <c r="E40" s="78"/>
      <c r="F40" s="78"/>
      <c r="G40" s="78"/>
      <c r="H40" s="78"/>
      <c r="I40" s="78"/>
      <c r="J40" s="78"/>
      <c r="K40" s="78"/>
      <c r="L40" s="78"/>
    </row>
    <row r="41" spans="1:12" ht="14.25">
      <c r="A41" s="88"/>
      <c r="B41" s="117"/>
      <c r="C41" s="116"/>
      <c r="E41" s="78"/>
      <c r="F41" s="78"/>
      <c r="G41" s="78"/>
      <c r="H41" s="78"/>
      <c r="I41" s="78"/>
      <c r="J41" s="78"/>
      <c r="K41" s="78"/>
      <c r="L41" s="78"/>
    </row>
    <row r="42" spans="1:12" ht="14.25">
      <c r="A42" s="88"/>
      <c r="B42" s="117"/>
      <c r="C42" s="88"/>
      <c r="E42" s="78"/>
      <c r="F42" s="78"/>
      <c r="G42" s="78"/>
      <c r="H42" s="78"/>
      <c r="I42" s="78"/>
      <c r="J42" s="78"/>
      <c r="K42" s="78"/>
      <c r="L42" s="78"/>
    </row>
    <row r="43" spans="1:12" ht="14.25">
      <c r="A43" s="88"/>
      <c r="B43" s="111"/>
      <c r="C43" s="116"/>
      <c r="E43" s="78"/>
      <c r="F43" s="78"/>
      <c r="G43" s="78"/>
      <c r="H43" s="78"/>
      <c r="I43" s="78"/>
      <c r="J43" s="78"/>
      <c r="K43" s="78"/>
      <c r="L43" s="78"/>
    </row>
    <row r="44" spans="1:12" ht="14.25">
      <c r="A44" s="88"/>
      <c r="B44" s="117"/>
      <c r="C44" s="88"/>
      <c r="E44" s="78"/>
      <c r="F44" s="78"/>
      <c r="G44" s="78"/>
      <c r="H44" s="78"/>
      <c r="I44" s="78"/>
      <c r="J44" s="78"/>
      <c r="K44" s="78"/>
      <c r="L44" s="78"/>
    </row>
    <row r="45" spans="1:12" ht="14.25">
      <c r="A45" s="88"/>
      <c r="B45" s="111"/>
      <c r="C45" s="116"/>
      <c r="E45" s="78"/>
      <c r="F45" s="78"/>
      <c r="G45" s="78"/>
      <c r="H45" s="78"/>
      <c r="I45" s="78"/>
      <c r="J45" s="78"/>
      <c r="K45" s="78"/>
      <c r="L45" s="78"/>
    </row>
    <row r="46" spans="1:12" ht="14.25">
      <c r="A46" s="88"/>
      <c r="B46" s="117"/>
      <c r="C46" s="88"/>
      <c r="E46" s="78"/>
      <c r="F46" s="78"/>
      <c r="G46" s="78"/>
      <c r="H46" s="78"/>
      <c r="I46" s="78"/>
      <c r="J46" s="78"/>
      <c r="K46" s="78"/>
      <c r="L46" s="78"/>
    </row>
    <row r="47" spans="1:12" ht="14.25">
      <c r="A47" s="88"/>
      <c r="B47" s="111"/>
      <c r="C47" s="116"/>
      <c r="E47" s="78"/>
      <c r="F47" s="78"/>
      <c r="G47" s="78"/>
      <c r="H47" s="78"/>
      <c r="I47" s="78"/>
      <c r="J47" s="78"/>
      <c r="K47" s="78"/>
      <c r="L47" s="78"/>
    </row>
    <row r="48" spans="1:12" ht="14.25">
      <c r="A48" s="88"/>
      <c r="B48" s="117"/>
      <c r="C48" s="88"/>
      <c r="E48" s="78"/>
      <c r="F48" s="78"/>
      <c r="G48" s="78"/>
      <c r="H48" s="78"/>
      <c r="I48" s="78"/>
      <c r="J48" s="78"/>
      <c r="K48" s="78"/>
      <c r="L48" s="78"/>
    </row>
    <row r="49" spans="1:12" ht="14.25">
      <c r="A49" s="88"/>
      <c r="B49" s="111"/>
      <c r="C49" s="116"/>
      <c r="E49" s="78"/>
      <c r="F49" s="78"/>
      <c r="G49" s="78"/>
      <c r="H49" s="78"/>
      <c r="I49" s="78"/>
      <c r="J49" s="78"/>
      <c r="K49" s="78"/>
      <c r="L49" s="78"/>
    </row>
    <row r="50" spans="1:12" ht="16.5">
      <c r="A50" s="114"/>
      <c r="B50" s="78"/>
      <c r="C50" s="78"/>
      <c r="E50" s="78"/>
      <c r="F50" s="78"/>
      <c r="G50" s="78"/>
      <c r="H50" s="78"/>
      <c r="I50" s="78"/>
      <c r="J50" s="78"/>
      <c r="K50" s="78"/>
      <c r="L50" s="78"/>
    </row>
    <row r="51" spans="1:12">
      <c r="A51" s="78"/>
      <c r="B51" s="78"/>
      <c r="C51" s="78"/>
      <c r="E51" s="78"/>
      <c r="F51" s="78"/>
      <c r="G51" s="78"/>
      <c r="H51" s="78"/>
      <c r="I51" s="78"/>
      <c r="J51" s="78"/>
      <c r="K51" s="78"/>
      <c r="L51" s="78"/>
    </row>
    <row r="52" spans="1:12">
      <c r="A52" s="78"/>
      <c r="B52" s="78"/>
      <c r="C52" s="78"/>
      <c r="E52" s="78"/>
      <c r="F52" s="78"/>
      <c r="G52" s="78"/>
      <c r="H52" s="78"/>
      <c r="I52" s="78"/>
      <c r="J52" s="78"/>
      <c r="K52" s="78"/>
      <c r="L52" s="78"/>
    </row>
    <row r="53" spans="1:12">
      <c r="A53" s="118"/>
      <c r="B53" s="78"/>
      <c r="C53" s="78"/>
      <c r="E53" s="78"/>
      <c r="F53" s="78"/>
      <c r="G53" s="78"/>
      <c r="H53" s="78"/>
      <c r="I53" s="78"/>
      <c r="J53" s="78"/>
      <c r="K53" s="78"/>
      <c r="L53" s="78"/>
    </row>
    <row r="54" spans="1:12">
      <c r="A54" s="78"/>
      <c r="B54" s="78"/>
      <c r="C54" s="78"/>
      <c r="E54" s="78"/>
    </row>
    <row r="55" spans="1:12">
      <c r="A55" s="78"/>
      <c r="B55" s="78"/>
      <c r="C55" s="78"/>
      <c r="E55" s="78"/>
    </row>
    <row r="56" spans="1:12">
      <c r="A56" s="78"/>
      <c r="B56" s="78"/>
      <c r="C56" s="78"/>
      <c r="E56" s="78"/>
    </row>
    <row r="57" spans="1:12">
      <c r="A57" s="78"/>
      <c r="B57" s="78"/>
      <c r="C57" s="78"/>
      <c r="E57" s="78"/>
    </row>
    <row r="58" spans="1:12">
      <c r="A58" s="78"/>
      <c r="B58" s="78"/>
      <c r="C58" s="78"/>
      <c r="E58" s="78"/>
    </row>
    <row r="59" spans="1:12">
      <c r="A59" s="78"/>
      <c r="B59" s="78"/>
      <c r="C59" s="78"/>
      <c r="E59" s="78"/>
    </row>
    <row r="60" spans="1:12">
      <c r="A60" s="78"/>
      <c r="B60" s="78"/>
      <c r="C60" s="78"/>
      <c r="E60" s="78"/>
    </row>
    <row r="61" spans="1:12">
      <c r="A61" s="78"/>
      <c r="B61" s="78"/>
      <c r="C61" s="78"/>
      <c r="E61" s="78"/>
    </row>
    <row r="62" spans="1:12">
      <c r="A62" s="78"/>
      <c r="B62" s="78"/>
      <c r="C62" s="78"/>
      <c r="E62" s="78"/>
    </row>
  </sheetData>
  <mergeCells count="1">
    <mergeCell ref="A1:C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3" sqref="A3:B3"/>
    </sheetView>
  </sheetViews>
  <sheetFormatPr defaultRowHeight="12.75"/>
  <cols>
    <col min="1" max="1" width="75.85546875" style="1" customWidth="1"/>
    <col min="2" max="2" width="12.85546875" style="1" customWidth="1"/>
    <col min="3" max="3" width="2.4257812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2">
      <c r="A1" s="54" t="s">
        <v>186</v>
      </c>
    </row>
    <row r="3" spans="1:2" ht="44.25" customHeight="1">
      <c r="A3" s="380" t="s">
        <v>327</v>
      </c>
      <c r="B3" s="380"/>
    </row>
    <row r="4" spans="1:2" ht="13.5" thickBot="1"/>
    <row r="5" spans="1:2" ht="18">
      <c r="A5" s="378" t="s">
        <v>174</v>
      </c>
      <c r="B5" s="379"/>
    </row>
    <row r="6" spans="1:2" ht="15">
      <c r="A6" s="77" t="s">
        <v>160</v>
      </c>
      <c r="B6" s="119"/>
    </row>
    <row r="7" spans="1:2" ht="15">
      <c r="A7" s="79" t="s">
        <v>91</v>
      </c>
      <c r="B7" s="80">
        <v>1932</v>
      </c>
    </row>
    <row r="8" spans="1:2" ht="15">
      <c r="A8" s="81" t="s">
        <v>92</v>
      </c>
      <c r="B8" s="80">
        <v>2197</v>
      </c>
    </row>
    <row r="9" spans="1:2" ht="14.25">
      <c r="A9" s="120" t="s">
        <v>93</v>
      </c>
      <c r="B9" s="121">
        <v>25</v>
      </c>
    </row>
    <row r="10" spans="1:2" ht="14.25">
      <c r="A10" s="120" t="s">
        <v>94</v>
      </c>
      <c r="B10" s="121">
        <v>1463</v>
      </c>
    </row>
    <row r="11" spans="1:2" ht="14.25">
      <c r="A11" s="120" t="s">
        <v>95</v>
      </c>
      <c r="B11" s="121">
        <v>321</v>
      </c>
    </row>
    <row r="12" spans="1:2" ht="14.25">
      <c r="A12" s="120" t="s">
        <v>96</v>
      </c>
      <c r="B12" s="121">
        <v>12</v>
      </c>
    </row>
    <row r="13" spans="1:2" ht="14.25">
      <c r="A13" s="120" t="s">
        <v>97</v>
      </c>
      <c r="B13" s="121">
        <v>339</v>
      </c>
    </row>
    <row r="14" spans="1:2" ht="14.25">
      <c r="A14" s="120" t="s">
        <v>98</v>
      </c>
      <c r="B14" s="121">
        <v>0</v>
      </c>
    </row>
    <row r="15" spans="1:2" ht="14.25">
      <c r="A15" s="120" t="s">
        <v>99</v>
      </c>
      <c r="B15" s="121">
        <v>22</v>
      </c>
    </row>
    <row r="16" spans="1:2" ht="14.25">
      <c r="A16" s="122" t="s">
        <v>100</v>
      </c>
      <c r="B16" s="123">
        <v>0</v>
      </c>
    </row>
    <row r="17" spans="1:4" ht="14.25">
      <c r="A17" s="170" t="s">
        <v>202</v>
      </c>
      <c r="B17" s="123">
        <v>0</v>
      </c>
    </row>
    <row r="18" spans="1:4" ht="15">
      <c r="A18" s="77" t="s">
        <v>101</v>
      </c>
      <c r="B18" s="119"/>
    </row>
    <row r="19" spans="1:4" ht="14.25">
      <c r="A19" s="124" t="s">
        <v>203</v>
      </c>
      <c r="B19" s="125">
        <v>5183</v>
      </c>
    </row>
    <row r="20" spans="1:4" ht="14.25">
      <c r="A20" s="120" t="s">
        <v>204</v>
      </c>
      <c r="B20" s="121">
        <v>4918</v>
      </c>
    </row>
    <row r="21" spans="1:4" ht="14.25">
      <c r="A21" s="120" t="s">
        <v>205</v>
      </c>
      <c r="B21" s="165">
        <f>B7-B8</f>
        <v>-265</v>
      </c>
    </row>
    <row r="22" spans="1:4" ht="14.25">
      <c r="A22" s="126"/>
      <c r="B22" s="127"/>
    </row>
    <row r="23" spans="1:4" s="54" customFormat="1" ht="15">
      <c r="A23" s="79" t="s">
        <v>103</v>
      </c>
      <c r="B23" s="128">
        <f>MEDIAN(B19,B20)</f>
        <v>5050.5</v>
      </c>
    </row>
    <row r="24" spans="1:4" ht="15">
      <c r="A24" s="81" t="s">
        <v>200</v>
      </c>
      <c r="B24" s="168">
        <f>B10/B23</f>
        <v>0.28967428967428965</v>
      </c>
    </row>
    <row r="25" spans="1:4" ht="15">
      <c r="A25" s="81" t="s">
        <v>201</v>
      </c>
      <c r="B25" s="168">
        <f>MEDIAN(B7,B8)/B23</f>
        <v>0.40877140877140877</v>
      </c>
      <c r="D25" s="161"/>
    </row>
    <row r="26" spans="1:4" s="54" customFormat="1" ht="15">
      <c r="A26" s="81" t="s">
        <v>190</v>
      </c>
      <c r="B26" s="166">
        <f>12/B25</f>
        <v>29.356260595785905</v>
      </c>
    </row>
    <row r="27" spans="1:4" ht="15">
      <c r="A27" s="81" t="s">
        <v>102</v>
      </c>
      <c r="B27" s="83">
        <v>360</v>
      </c>
    </row>
    <row r="28" spans="1:4" ht="15">
      <c r="A28" s="81" t="s">
        <v>187</v>
      </c>
      <c r="B28" s="83">
        <v>10</v>
      </c>
    </row>
    <row r="29" spans="1:4" ht="15">
      <c r="A29" s="79" t="s">
        <v>188</v>
      </c>
      <c r="B29" s="82">
        <v>30</v>
      </c>
    </row>
    <row r="30" spans="1:4" ht="15">
      <c r="A30" s="79" t="s">
        <v>189</v>
      </c>
      <c r="B30" s="82">
        <v>30</v>
      </c>
    </row>
    <row r="31" spans="1:4" s="54" customFormat="1" ht="15">
      <c r="A31" s="79" t="s">
        <v>105</v>
      </c>
      <c r="B31" s="82">
        <f>30+(3*TRUNC(1/B25))</f>
        <v>36</v>
      </c>
    </row>
    <row r="32" spans="1:4" s="54" customFormat="1" ht="15">
      <c r="A32" s="81" t="s">
        <v>33</v>
      </c>
      <c r="B32" s="167">
        <v>0.08</v>
      </c>
    </row>
    <row r="33" spans="1:2" s="54" customFormat="1" ht="15.75" thickBot="1">
      <c r="A33" s="84" t="s">
        <v>104</v>
      </c>
      <c r="B33" s="169">
        <v>0.5</v>
      </c>
    </row>
  </sheetData>
  <mergeCells count="2">
    <mergeCell ref="A5:B5"/>
    <mergeCell ref="A3:B3"/>
  </mergeCells>
  <pageMargins left="0.78740157480314965" right="0" top="0.78740157480314965" bottom="0.39370078740157483" header="0" footer="0"/>
  <pageSetup paperSize="9" scale="98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sqref="A1:C1"/>
    </sheetView>
  </sheetViews>
  <sheetFormatPr defaultRowHeight="12.75"/>
  <cols>
    <col min="1" max="1" width="41.85546875" bestFit="1" customWidth="1"/>
    <col min="2" max="2" width="5.5703125" bestFit="1" customWidth="1"/>
  </cols>
  <sheetData>
    <row r="1" spans="1:4" s="2" customFormat="1" ht="15.6" customHeight="1" thickBot="1">
      <c r="A1" s="381" t="s">
        <v>324</v>
      </c>
      <c r="B1" s="382"/>
      <c r="C1" s="383"/>
    </row>
    <row r="2" spans="1:4" ht="16.5" thickBot="1">
      <c r="A2" s="386" t="s">
        <v>325</v>
      </c>
      <c r="B2" s="387"/>
      <c r="C2" s="388"/>
    </row>
    <row r="3" spans="1:4" ht="14.25">
      <c r="A3" s="129" t="s">
        <v>57</v>
      </c>
      <c r="B3" s="130" t="s">
        <v>58</v>
      </c>
      <c r="C3" s="355">
        <v>0.05</v>
      </c>
      <c r="D3" s="69"/>
    </row>
    <row r="4" spans="1:4" ht="14.25">
      <c r="A4" s="131" t="s">
        <v>59</v>
      </c>
      <c r="B4" s="132" t="s">
        <v>60</v>
      </c>
      <c r="C4" s="356">
        <v>1.2999999999999999E-2</v>
      </c>
      <c r="D4" s="69"/>
    </row>
    <row r="5" spans="1:4" ht="14.25">
      <c r="A5" s="131" t="s">
        <v>61</v>
      </c>
      <c r="B5" s="132" t="s">
        <v>62</v>
      </c>
      <c r="C5" s="356">
        <v>0.1</v>
      </c>
      <c r="D5" s="69"/>
    </row>
    <row r="6" spans="1:4" ht="14.25">
      <c r="A6" s="131" t="s">
        <v>63</v>
      </c>
      <c r="B6" s="132" t="s">
        <v>64</v>
      </c>
      <c r="C6" s="133">
        <v>0</v>
      </c>
      <c r="D6" s="69"/>
    </row>
    <row r="7" spans="1:4" ht="14.25">
      <c r="A7" s="131" t="s">
        <v>65</v>
      </c>
      <c r="B7" s="384" t="s">
        <v>66</v>
      </c>
      <c r="C7" s="356">
        <v>0.02</v>
      </c>
      <c r="D7" s="69"/>
    </row>
    <row r="8" spans="1:4" ht="15" thickBot="1">
      <c r="A8" s="134" t="s">
        <v>67</v>
      </c>
      <c r="B8" s="385"/>
      <c r="C8" s="357">
        <v>9.2499999999999999E-2</v>
      </c>
      <c r="D8" s="69"/>
    </row>
    <row r="9" spans="1:4" ht="14.25">
      <c r="A9" s="135" t="s">
        <v>68</v>
      </c>
      <c r="B9" s="136"/>
      <c r="C9" s="137"/>
      <c r="D9" s="69"/>
    </row>
    <row r="10" spans="1:4" ht="15" thickBot="1">
      <c r="A10" s="138" t="s">
        <v>69</v>
      </c>
      <c r="B10" s="139"/>
      <c r="C10" s="140"/>
      <c r="D10" s="69"/>
    </row>
    <row r="11" spans="1:4" ht="15.75" thickBot="1">
      <c r="A11" s="141" t="s">
        <v>70</v>
      </c>
      <c r="B11" s="142"/>
      <c r="C11" s="143">
        <f>ROUND((((1+C3+C4)*(1+C5)*(1+C6))/(1-(C7+C8))-1),4)</f>
        <v>0.3175</v>
      </c>
      <c r="D11" s="69"/>
    </row>
    <row r="12" spans="1:4" ht="15" thickBot="1">
      <c r="A12" s="69"/>
      <c r="B12" s="69"/>
      <c r="C12" s="69"/>
      <c r="D12" s="69"/>
    </row>
    <row r="13" spans="1:4" s="2" customFormat="1" ht="15.6" customHeight="1" thickBot="1">
      <c r="A13" s="381" t="s">
        <v>326</v>
      </c>
      <c r="B13" s="382"/>
      <c r="C13" s="383"/>
    </row>
    <row r="14" spans="1:4" ht="16.5" thickBot="1">
      <c r="A14" s="352" t="s">
        <v>325</v>
      </c>
      <c r="B14" s="353"/>
      <c r="C14" s="354"/>
    </row>
    <row r="15" spans="1:4" ht="14.25">
      <c r="A15" s="129" t="s">
        <v>57</v>
      </c>
      <c r="B15" s="130" t="s">
        <v>58</v>
      </c>
      <c r="C15" s="355">
        <v>0.05</v>
      </c>
      <c r="D15" s="69"/>
    </row>
    <row r="16" spans="1:4" ht="14.25">
      <c r="A16" s="131" t="s">
        <v>59</v>
      </c>
      <c r="B16" s="252" t="s">
        <v>60</v>
      </c>
      <c r="C16" s="356">
        <v>1.2999999999999999E-2</v>
      </c>
      <c r="D16" s="69"/>
    </row>
    <row r="17" spans="1:4" ht="14.25">
      <c r="A17" s="131" t="s">
        <v>61</v>
      </c>
      <c r="B17" s="252" t="s">
        <v>62</v>
      </c>
      <c r="C17" s="356">
        <v>0.1</v>
      </c>
      <c r="D17" s="69"/>
    </row>
    <row r="18" spans="1:4" ht="14.25">
      <c r="A18" s="131" t="s">
        <v>63</v>
      </c>
      <c r="B18" s="252" t="s">
        <v>64</v>
      </c>
      <c r="C18" s="133">
        <v>0</v>
      </c>
      <c r="D18" s="69"/>
    </row>
    <row r="19" spans="1:4" ht="14.25">
      <c r="A19" s="131" t="s">
        <v>65</v>
      </c>
      <c r="B19" s="384" t="s">
        <v>66</v>
      </c>
      <c r="C19" s="356">
        <v>0.02</v>
      </c>
      <c r="D19" s="69"/>
    </row>
    <row r="20" spans="1:4" ht="15" thickBot="1">
      <c r="A20" s="134" t="s">
        <v>67</v>
      </c>
      <c r="B20" s="385"/>
      <c r="C20" s="357">
        <v>3.6499999999999998E-2</v>
      </c>
      <c r="D20" s="69"/>
    </row>
    <row r="21" spans="1:4" ht="14.25">
      <c r="A21" s="135" t="s">
        <v>68</v>
      </c>
      <c r="B21" s="136"/>
      <c r="C21" s="137"/>
      <c r="D21" s="69"/>
    </row>
    <row r="22" spans="1:4" ht="15" thickBot="1">
      <c r="A22" s="138" t="s">
        <v>69</v>
      </c>
      <c r="B22" s="139"/>
      <c r="C22" s="140"/>
      <c r="D22" s="69"/>
    </row>
    <row r="23" spans="1:4" ht="15.75" thickBot="1">
      <c r="A23" s="141" t="s">
        <v>70</v>
      </c>
      <c r="B23" s="142"/>
      <c r="C23" s="143">
        <f>ROUND((((1+C15+C16)*(1+C17)*(1+C18))/(1-(C19+C20))-1),4)</f>
        <v>0.23930000000000001</v>
      </c>
      <c r="D23" s="69"/>
    </row>
  </sheetData>
  <mergeCells count="5">
    <mergeCell ref="A1:C1"/>
    <mergeCell ref="A13:C13"/>
    <mergeCell ref="B19:B20"/>
    <mergeCell ref="B7:B8"/>
    <mergeCell ref="A2:C2"/>
  </mergeCells>
  <pageMargins left="0.90551181102362199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sqref="A1:C1"/>
    </sheetView>
  </sheetViews>
  <sheetFormatPr defaultRowHeight="19.5" customHeight="1"/>
  <cols>
    <col min="1" max="1" width="24.5703125" style="1" customWidth="1"/>
    <col min="2" max="2" width="20.85546875" style="1" customWidth="1"/>
    <col min="3" max="3" width="16.28515625" style="161" customWidth="1"/>
    <col min="4" max="16384" width="9.140625" style="1"/>
  </cols>
  <sheetData>
    <row r="1" spans="1:3" ht="19.5" customHeight="1">
      <c r="A1" s="389" t="s">
        <v>176</v>
      </c>
      <c r="B1" s="389"/>
      <c r="C1" s="389"/>
    </row>
    <row r="2" spans="1:3" s="54" customFormat="1" ht="19.5" customHeight="1">
      <c r="A2" s="151" t="s">
        <v>161</v>
      </c>
      <c r="B2" s="341" t="s">
        <v>196</v>
      </c>
      <c r="C2" s="341" t="s">
        <v>357</v>
      </c>
    </row>
    <row r="3" spans="1:3" ht="19.5" customHeight="1">
      <c r="A3" s="346">
        <v>1</v>
      </c>
      <c r="B3" s="342">
        <v>33.629999999999995</v>
      </c>
      <c r="C3" s="342">
        <f>100-B3</f>
        <v>66.37</v>
      </c>
    </row>
    <row r="4" spans="1:3" ht="19.5" customHeight="1">
      <c r="A4" s="347">
        <v>2</v>
      </c>
      <c r="B4" s="343">
        <v>43.13</v>
      </c>
      <c r="C4" s="343">
        <f t="shared" ref="C4:C17" si="0">100-B4</f>
        <v>56.87</v>
      </c>
    </row>
    <row r="5" spans="1:3" ht="19.5" customHeight="1">
      <c r="A5" s="347">
        <v>3</v>
      </c>
      <c r="B5" s="343">
        <v>48.68</v>
      </c>
      <c r="C5" s="343">
        <f t="shared" si="0"/>
        <v>51.32</v>
      </c>
    </row>
    <row r="6" spans="1:3" ht="19.5" customHeight="1">
      <c r="A6" s="347">
        <v>4</v>
      </c>
      <c r="B6" s="343">
        <v>52.62</v>
      </c>
      <c r="C6" s="343">
        <f t="shared" si="0"/>
        <v>47.38</v>
      </c>
    </row>
    <row r="7" spans="1:3" ht="19.5" customHeight="1">
      <c r="A7" s="348">
        <v>5</v>
      </c>
      <c r="B7" s="344">
        <v>55</v>
      </c>
      <c r="C7" s="344">
        <f t="shared" si="0"/>
        <v>45</v>
      </c>
    </row>
    <row r="8" spans="1:3" ht="19.5" customHeight="1">
      <c r="A8" s="347">
        <v>6</v>
      </c>
      <c r="B8" s="343">
        <v>58.18</v>
      </c>
      <c r="C8" s="343">
        <f t="shared" si="0"/>
        <v>41.82</v>
      </c>
    </row>
    <row r="9" spans="1:3" ht="19.5" customHeight="1">
      <c r="A9" s="347">
        <v>7</v>
      </c>
      <c r="B9" s="343">
        <v>60.29</v>
      </c>
      <c r="C9" s="343">
        <f t="shared" si="0"/>
        <v>39.71</v>
      </c>
    </row>
    <row r="10" spans="1:3" ht="19.5" customHeight="1">
      <c r="A10" s="347">
        <v>8</v>
      </c>
      <c r="B10" s="343">
        <v>62.12</v>
      </c>
      <c r="C10" s="343">
        <f t="shared" si="0"/>
        <v>37.880000000000003</v>
      </c>
    </row>
    <row r="11" spans="1:3" ht="19.5" customHeight="1">
      <c r="A11" s="347">
        <v>9</v>
      </c>
      <c r="B11" s="343">
        <v>63.73</v>
      </c>
      <c r="C11" s="343">
        <f t="shared" si="0"/>
        <v>36.270000000000003</v>
      </c>
    </row>
    <row r="12" spans="1:3" ht="19.5" customHeight="1">
      <c r="A12" s="348">
        <v>10</v>
      </c>
      <c r="B12" s="344">
        <v>65</v>
      </c>
      <c r="C12" s="344">
        <f t="shared" si="0"/>
        <v>35</v>
      </c>
    </row>
    <row r="13" spans="1:3" ht="19.5" customHeight="1">
      <c r="A13" s="347">
        <v>11</v>
      </c>
      <c r="B13" s="343">
        <v>66.47999999999999</v>
      </c>
      <c r="C13" s="343">
        <f t="shared" si="0"/>
        <v>33.52000000000001</v>
      </c>
    </row>
    <row r="14" spans="1:3" ht="19.5" customHeight="1">
      <c r="A14" s="347">
        <v>12</v>
      </c>
      <c r="B14" s="343">
        <v>67.67</v>
      </c>
      <c r="C14" s="343">
        <f t="shared" si="0"/>
        <v>32.33</v>
      </c>
    </row>
    <row r="15" spans="1:3" ht="19.5" customHeight="1">
      <c r="A15" s="347">
        <v>13</v>
      </c>
      <c r="B15" s="343">
        <v>68.77</v>
      </c>
      <c r="C15" s="343">
        <f t="shared" si="0"/>
        <v>31.230000000000004</v>
      </c>
    </row>
    <row r="16" spans="1:3" ht="19.5" customHeight="1">
      <c r="A16" s="347">
        <v>14</v>
      </c>
      <c r="B16" s="343">
        <v>69.789999999999992</v>
      </c>
      <c r="C16" s="343">
        <f t="shared" si="0"/>
        <v>30.210000000000008</v>
      </c>
    </row>
    <row r="17" spans="1:3" ht="19.5" customHeight="1">
      <c r="A17" s="349">
        <v>15</v>
      </c>
      <c r="B17" s="345">
        <v>70.73</v>
      </c>
      <c r="C17" s="345">
        <f t="shared" si="0"/>
        <v>29.269999999999996</v>
      </c>
    </row>
  </sheetData>
  <mergeCells count="1">
    <mergeCell ref="A1:C1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17"/>
  <sheetViews>
    <sheetView workbookViewId="0"/>
  </sheetViews>
  <sheetFormatPr defaultRowHeight="12.75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>
      <c r="A1" s="147" t="s">
        <v>180</v>
      </c>
    </row>
    <row r="2" spans="1:1">
      <c r="A2" s="144"/>
    </row>
    <row r="3" spans="1:1">
      <c r="A3" s="144" t="s">
        <v>191</v>
      </c>
    </row>
    <row r="4" spans="1:1">
      <c r="A4" s="144"/>
    </row>
    <row r="5" spans="1:1">
      <c r="A5" s="144"/>
    </row>
    <row r="6" spans="1:1">
      <c r="A6" s="144"/>
    </row>
    <row r="7" spans="1:1">
      <c r="A7" s="144"/>
    </row>
    <row r="8" spans="1:1">
      <c r="A8" s="144"/>
    </row>
    <row r="9" spans="1:1">
      <c r="A9" s="144"/>
    </row>
    <row r="10" spans="1:1">
      <c r="A10" s="144"/>
    </row>
    <row r="11" spans="1:1">
      <c r="A11" s="144"/>
    </row>
    <row r="12" spans="1:1" ht="19.5">
      <c r="A12" s="145" t="s">
        <v>177</v>
      </c>
    </row>
    <row r="13" spans="1:1" ht="15">
      <c r="A13" s="145" t="s">
        <v>80</v>
      </c>
    </row>
    <row r="14" spans="1:1" ht="15">
      <c r="A14" s="145" t="s">
        <v>84</v>
      </c>
    </row>
    <row r="15" spans="1:1" ht="19.5">
      <c r="A15" s="145" t="s">
        <v>178</v>
      </c>
    </row>
    <row r="16" spans="1:1" ht="19.5">
      <c r="A16" s="145" t="s">
        <v>179</v>
      </c>
    </row>
    <row r="17" spans="1:1" ht="15.75" thickBot="1">
      <c r="A17" s="146" t="s">
        <v>81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3</vt:i4>
      </vt:variant>
    </vt:vector>
  </HeadingPairs>
  <TitlesOfParts>
    <vt:vector size="11" baseType="lpstr">
      <vt:lpstr>RSU Convencional Urbana</vt:lpstr>
      <vt:lpstr>Lavagem unif.</vt:lpstr>
      <vt:lpstr>Feriados</vt:lpstr>
      <vt:lpstr>2.Encargos Sociais</vt:lpstr>
      <vt:lpstr>3.CAGED</vt:lpstr>
      <vt:lpstr>4.BDI</vt:lpstr>
      <vt:lpstr>5. Depreciação</vt:lpstr>
      <vt:lpstr>6.Remuneração de capital</vt:lpstr>
      <vt:lpstr>AbaDeprec</vt:lpstr>
      <vt:lpstr>AbaRemun</vt:lpstr>
      <vt:lpstr>'2.Encargos Sociais'!Area_de_impressao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asilveira</cp:lastModifiedBy>
  <cp:lastPrinted>2021-07-08T23:20:03Z</cp:lastPrinted>
  <dcterms:created xsi:type="dcterms:W3CDTF">2000-12-13T10:02:50Z</dcterms:created>
  <dcterms:modified xsi:type="dcterms:W3CDTF">2021-07-28T14:12:12Z</dcterms:modified>
</cp:coreProperties>
</file>