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630" yWindow="0" windowWidth="19860" windowHeight="10920" tabRatio="802"/>
  </bookViews>
  <sheets>
    <sheet name="1. Coleta Automatizada" sheetId="2" r:id="rId1"/>
    <sheet name="Lavagem unif." sheetId="11" r:id="rId2"/>
    <sheet name="Feriados" sheetId="10" r:id="rId3"/>
    <sheet name="2.Encargos Sociais" sheetId="8" r:id="rId4"/>
    <sheet name="3.CAGED" sheetId="5" r:id="rId5"/>
    <sheet name="4.BDI" sheetId="4" r:id="rId6"/>
    <sheet name="5. Depreciação" sheetId="6" r:id="rId7"/>
    <sheet name="6.Remuneração de capital" sheetId="7" r:id="rId8"/>
  </sheets>
  <definedNames>
    <definedName name="AbaDeprec">'5. Depreciação'!$A$1</definedName>
    <definedName name="AbaRemun">'6.Remuneração de capital'!$A$1</definedName>
    <definedName name="_xlnm.Print_Area" localSheetId="3">'2.Encargos Sociais'!$A$1:$C$33</definedName>
    <definedName name="número">#REF!</definedName>
    <definedName name="x">#REF!</definedName>
  </definedNames>
  <calcPr calcId="124519"/>
  <fileRecoveryPr repairLoad="1"/>
</workbook>
</file>

<file path=xl/calcChain.xml><?xml version="1.0" encoding="utf-8"?>
<calcChain xmlns="http://schemas.openxmlformats.org/spreadsheetml/2006/main">
  <c r="D153" i="2"/>
  <c r="D152"/>
  <c r="C94"/>
  <c r="D363" l="1"/>
  <c r="C169" l="1"/>
  <c r="C252" l="1"/>
  <c r="E395" l="1"/>
  <c r="C391"/>
  <c r="E78"/>
  <c r="C63" l="1"/>
  <c r="C84"/>
  <c r="D383" l="1"/>
  <c r="C137"/>
  <c r="C115"/>
  <c r="D103"/>
  <c r="D104"/>
  <c r="D82"/>
  <c r="D91" s="1"/>
  <c r="D83"/>
  <c r="D61"/>
  <c r="D70" s="1"/>
  <c r="C98"/>
  <c r="C77"/>
  <c r="C70"/>
  <c r="C67"/>
  <c r="C64"/>
  <c r="E99"/>
  <c r="C91"/>
  <c r="C88"/>
  <c r="C85"/>
  <c r="E91" l="1"/>
  <c r="E70"/>
  <c r="E61"/>
  <c r="D64"/>
  <c r="E64" s="1"/>
  <c r="D68"/>
  <c r="E68" s="1"/>
  <c r="D67"/>
  <c r="E67" s="1"/>
  <c r="D65"/>
  <c r="E65" s="1"/>
  <c r="E82"/>
  <c r="D85"/>
  <c r="E85" s="1"/>
  <c r="D89"/>
  <c r="E89" s="1"/>
  <c r="D88"/>
  <c r="E88" s="1"/>
  <c r="D86"/>
  <c r="E86" s="1"/>
  <c r="D71" l="1"/>
  <c r="E71" s="1"/>
  <c r="D73" s="1"/>
  <c r="E73" s="1"/>
  <c r="E74" s="1"/>
  <c r="D92"/>
  <c r="E92" s="1"/>
  <c r="C105"/>
  <c r="D75" l="1"/>
  <c r="D94"/>
  <c r="E94" s="1"/>
  <c r="E95" s="1"/>
  <c r="D320"/>
  <c r="D318"/>
  <c r="D316"/>
  <c r="D314"/>
  <c r="D312"/>
  <c r="D96" l="1"/>
  <c r="C279" l="1"/>
  <c r="C205"/>
  <c r="C119"/>
  <c r="E359" l="1"/>
  <c r="E348"/>
  <c r="E120"/>
  <c r="C363" l="1"/>
  <c r="C358"/>
  <c r="C327"/>
  <c r="E327" s="1"/>
  <c r="A153"/>
  <c r="A152"/>
  <c r="C146"/>
  <c r="D145"/>
  <c r="D136"/>
  <c r="D128"/>
  <c r="D126"/>
  <c r="D127"/>
  <c r="E252"/>
  <c r="D237"/>
  <c r="D245"/>
  <c r="D243"/>
  <c r="D241"/>
  <c r="D239"/>
  <c r="D183"/>
  <c r="D178"/>
  <c r="D177"/>
  <c r="D180"/>
  <c r="D176"/>
  <c r="D175"/>
  <c r="D174"/>
  <c r="C183"/>
  <c r="C182"/>
  <c r="E182" s="1"/>
  <c r="C181"/>
  <c r="E181" s="1"/>
  <c r="C177"/>
  <c r="C180"/>
  <c r="C179"/>
  <c r="E179" s="1"/>
  <c r="C178"/>
  <c r="C176"/>
  <c r="C175"/>
  <c r="C174"/>
  <c r="E180" l="1"/>
  <c r="E383"/>
  <c r="E177"/>
  <c r="E183"/>
  <c r="E178"/>
  <c r="E174"/>
  <c r="E176"/>
  <c r="A10" l="1"/>
  <c r="E402" l="1"/>
  <c r="D400"/>
  <c r="D398"/>
  <c r="E304"/>
  <c r="E296"/>
  <c r="E280"/>
  <c r="A151" l="1"/>
  <c r="D144"/>
  <c r="D134"/>
  <c r="A46"/>
  <c r="C170" l="1"/>
  <c r="C185" s="1"/>
  <c r="C135"/>
  <c r="C152"/>
  <c r="E152" s="1"/>
  <c r="C127"/>
  <c r="E127" s="1"/>
  <c r="C145"/>
  <c r="E135" l="1"/>
  <c r="E136"/>
  <c r="A40" l="1"/>
  <c r="C26" i="4" l="1"/>
  <c r="C423" i="2" s="1"/>
  <c r="C17" i="6" l="1"/>
  <c r="C16"/>
  <c r="C15"/>
  <c r="C14"/>
  <c r="C13"/>
  <c r="C12"/>
  <c r="C11"/>
  <c r="C10"/>
  <c r="C9"/>
  <c r="C8"/>
  <c r="C7"/>
  <c r="C6"/>
  <c r="C5"/>
  <c r="C4"/>
  <c r="C3"/>
  <c r="C15" i="11" l="1"/>
  <c r="C7"/>
  <c r="F3" l="1"/>
  <c r="C12" l="1"/>
  <c r="C13"/>
  <c r="C14"/>
  <c r="C6"/>
  <c r="C5"/>
  <c r="C4"/>
  <c r="C3"/>
  <c r="G3" s="1"/>
  <c r="I3" s="1"/>
  <c r="J3" s="1"/>
  <c r="F15"/>
  <c r="F14"/>
  <c r="F13"/>
  <c r="F12"/>
  <c r="G12" s="1"/>
  <c r="F7"/>
  <c r="G7" s="1"/>
  <c r="F6"/>
  <c r="F5"/>
  <c r="F4"/>
  <c r="G13" l="1"/>
  <c r="G4"/>
  <c r="I4" s="1"/>
  <c r="J4" s="1"/>
  <c r="G15"/>
  <c r="I15" s="1"/>
  <c r="J15" s="1"/>
  <c r="G5"/>
  <c r="I5" s="1"/>
  <c r="J5" s="1"/>
  <c r="G14"/>
  <c r="I14" s="1"/>
  <c r="J14" s="1"/>
  <c r="I13"/>
  <c r="J13" s="1"/>
  <c r="G6"/>
  <c r="I6" s="1"/>
  <c r="I12"/>
  <c r="J12" s="1"/>
  <c r="I7"/>
  <c r="J7" s="1"/>
  <c r="I16" l="1"/>
  <c r="J6"/>
  <c r="J8" s="1"/>
  <c r="D184" i="2" s="1"/>
  <c r="E184" s="1"/>
  <c r="I8" i="11"/>
  <c r="J16"/>
  <c r="D168" i="2" s="1"/>
  <c r="D235" l="1"/>
  <c r="D246" s="1"/>
  <c r="C353" l="1"/>
  <c r="C225" l="1"/>
  <c r="C398" l="1"/>
  <c r="A52"/>
  <c r="C400" l="1"/>
  <c r="E400" s="1"/>
  <c r="D401" s="1"/>
  <c r="E401" s="1"/>
  <c r="E398"/>
  <c r="D399" s="1"/>
  <c r="E399" s="1"/>
  <c r="F402" l="1"/>
  <c r="C379"/>
  <c r="C381"/>
  <c r="C382"/>
  <c r="C380"/>
  <c r="C377"/>
  <c r="C378"/>
  <c r="E253"/>
  <c r="A15"/>
  <c r="C167" l="1"/>
  <c r="C166"/>
  <c r="C165"/>
  <c r="C164"/>
  <c r="C163"/>
  <c r="C162"/>
  <c r="C161"/>
  <c r="A36" l="1"/>
  <c r="E369"/>
  <c r="F370" s="1"/>
  <c r="C36" s="1"/>
  <c r="E36" l="1"/>
  <c r="D310" l="1"/>
  <c r="D313"/>
  <c r="E381"/>
  <c r="E382"/>
  <c r="E380"/>
  <c r="D146"/>
  <c r="E146" s="1"/>
  <c r="A146"/>
  <c r="A144" s="1"/>
  <c r="D138"/>
  <c r="C262" l="1"/>
  <c r="A19" l="1"/>
  <c r="A51" l="1"/>
  <c r="A35" l="1"/>
  <c r="A34"/>
  <c r="A33"/>
  <c r="A32"/>
  <c r="A31"/>
  <c r="A30"/>
  <c r="A29"/>
  <c r="A28"/>
  <c r="A27"/>
  <c r="A26"/>
  <c r="A25"/>
  <c r="C285" l="1"/>
  <c r="C290"/>
  <c r="C271"/>
  <c r="C335" l="1"/>
  <c r="C334"/>
  <c r="C333"/>
  <c r="E333" s="1"/>
  <c r="E331"/>
  <c r="D321"/>
  <c r="D319"/>
  <c r="D317"/>
  <c r="D315"/>
  <c r="D311"/>
  <c r="C311"/>
  <c r="C313" s="1"/>
  <c r="E313" s="1"/>
  <c r="C302"/>
  <c r="E302" s="1"/>
  <c r="C301"/>
  <c r="E301" s="1"/>
  <c r="C300"/>
  <c r="C295"/>
  <c r="D284"/>
  <c r="E284" s="1"/>
  <c r="C277"/>
  <c r="C276"/>
  <c r="D289"/>
  <c r="C273"/>
  <c r="E273" s="1"/>
  <c r="C272"/>
  <c r="E268"/>
  <c r="D271" l="1"/>
  <c r="E271" s="1"/>
  <c r="D322"/>
  <c r="C317"/>
  <c r="E317" s="1"/>
  <c r="C326"/>
  <c r="E326" s="1"/>
  <c r="F327" s="1"/>
  <c r="D334"/>
  <c r="E334" s="1"/>
  <c r="D335" s="1"/>
  <c r="E335" s="1"/>
  <c r="F335" s="1"/>
  <c r="C31" s="1"/>
  <c r="E31" s="1"/>
  <c r="C315"/>
  <c r="E315" s="1"/>
  <c r="C291"/>
  <c r="D276"/>
  <c r="E276" s="1"/>
  <c r="D277" s="1"/>
  <c r="E277" s="1"/>
  <c r="C286"/>
  <c r="C289"/>
  <c r="E289" s="1"/>
  <c r="C321"/>
  <c r="E321" s="1"/>
  <c r="C319"/>
  <c r="E319" s="1"/>
  <c r="E311"/>
  <c r="C261"/>
  <c r="C30" l="1"/>
  <c r="D272"/>
  <c r="E272" s="1"/>
  <c r="E278" s="1"/>
  <c r="D279" s="1"/>
  <c r="F322"/>
  <c r="C287"/>
  <c r="C292"/>
  <c r="C29" l="1"/>
  <c r="E29" s="1"/>
  <c r="E279"/>
  <c r="F280" s="1"/>
  <c r="C26" s="1"/>
  <c r="E30"/>
  <c r="C344"/>
  <c r="C202"/>
  <c r="E363"/>
  <c r="F364" s="1"/>
  <c r="C35" s="1"/>
  <c r="E35" s="1"/>
  <c r="D352"/>
  <c r="E352" s="1"/>
  <c r="C345"/>
  <c r="E341"/>
  <c r="D344" s="1"/>
  <c r="E206"/>
  <c r="E26" l="1"/>
  <c r="E344"/>
  <c r="D345" s="1"/>
  <c r="E345" s="1"/>
  <c r="E346" s="1"/>
  <c r="C354"/>
  <c r="C355" l="1"/>
  <c r="D356" s="1"/>
  <c r="E356" s="1"/>
  <c r="E357" s="1"/>
  <c r="D347"/>
  <c r="E347" s="1"/>
  <c r="F348" s="1"/>
  <c r="C33" s="1"/>
  <c r="E33" l="1"/>
  <c r="D358"/>
  <c r="E358" s="1"/>
  <c r="F359" s="1"/>
  <c r="C34" s="1"/>
  <c r="E34" s="1"/>
  <c r="E164"/>
  <c r="C32" l="1"/>
  <c r="B14" i="10"/>
  <c r="B2"/>
  <c r="B17" l="1"/>
  <c r="B19" s="1"/>
  <c r="E32" i="2"/>
  <c r="B21" i="5" l="1"/>
  <c r="C226" i="2" l="1"/>
  <c r="C227"/>
  <c r="A39" l="1"/>
  <c r="A38"/>
  <c r="A37"/>
  <c r="A17"/>
  <c r="A16"/>
  <c r="A8"/>
  <c r="C197" l="1"/>
  <c r="C128" l="1"/>
  <c r="C126" l="1"/>
  <c r="C143"/>
  <c r="E144" s="1"/>
  <c r="C151"/>
  <c r="E151" s="1"/>
  <c r="C133"/>
  <c r="C153"/>
  <c r="E153" s="1"/>
  <c r="E138"/>
  <c r="E128"/>
  <c r="C220"/>
  <c r="C215"/>
  <c r="F154" l="1"/>
  <c r="C15" s="1"/>
  <c r="E15" s="1"/>
  <c r="E133"/>
  <c r="E134"/>
  <c r="E143"/>
  <c r="E161"/>
  <c r="C109" l="1"/>
  <c r="C112" l="1"/>
  <c r="A24" l="1"/>
  <c r="A23"/>
  <c r="A22"/>
  <c r="A21"/>
  <c r="A20"/>
  <c r="A18"/>
  <c r="A14"/>
  <c r="A13"/>
  <c r="A12"/>
  <c r="A11"/>
  <c r="A9"/>
  <c r="C14" i="8"/>
  <c r="E229" i="2"/>
  <c r="E221"/>
  <c r="D209"/>
  <c r="C8" i="4"/>
  <c r="C13" s="1"/>
  <c r="C413" i="2" s="1"/>
  <c r="C11" i="8"/>
  <c r="B23" i="5"/>
  <c r="C106" i="2"/>
  <c r="D109"/>
  <c r="C260"/>
  <c r="E260" s="1"/>
  <c r="C235"/>
  <c r="E194"/>
  <c r="D214"/>
  <c r="C203"/>
  <c r="C198"/>
  <c r="C393"/>
  <c r="E393" s="1"/>
  <c r="D394" s="1"/>
  <c r="E394" s="1"/>
  <c r="C199"/>
  <c r="C214" s="1"/>
  <c r="A45"/>
  <c r="A47"/>
  <c r="E162"/>
  <c r="E163"/>
  <c r="E165"/>
  <c r="E166"/>
  <c r="E167"/>
  <c r="E168"/>
  <c r="E258"/>
  <c r="E227"/>
  <c r="E226"/>
  <c r="E377"/>
  <c r="E378"/>
  <c r="E379"/>
  <c r="C239" l="1"/>
  <c r="E239" s="1"/>
  <c r="C237"/>
  <c r="E237" s="1"/>
  <c r="C211"/>
  <c r="E300"/>
  <c r="D303" s="1"/>
  <c r="E303" s="1"/>
  <c r="F304" s="1"/>
  <c r="C28" s="1"/>
  <c r="E109"/>
  <c r="D112"/>
  <c r="E112" s="1"/>
  <c r="D106"/>
  <c r="E106" s="1"/>
  <c r="B25" i="5"/>
  <c r="B26" s="1"/>
  <c r="B24"/>
  <c r="C25" i="8" s="1"/>
  <c r="D197" i="2"/>
  <c r="E197" s="1"/>
  <c r="E103"/>
  <c r="D107"/>
  <c r="E107" s="1"/>
  <c r="D110"/>
  <c r="E110" s="1"/>
  <c r="C243"/>
  <c r="E243" s="1"/>
  <c r="C245"/>
  <c r="E245" s="1"/>
  <c r="F384"/>
  <c r="F386" s="1"/>
  <c r="C37" s="1"/>
  <c r="E137"/>
  <c r="E235"/>
  <c r="E199"/>
  <c r="C216" s="1"/>
  <c r="D48"/>
  <c r="E214"/>
  <c r="E145"/>
  <c r="F147" s="1"/>
  <c r="C241"/>
  <c r="E241" s="1"/>
  <c r="C251"/>
  <c r="E251" s="1"/>
  <c r="F254" s="1"/>
  <c r="E391"/>
  <c r="D392" s="1"/>
  <c r="E209"/>
  <c r="D261"/>
  <c r="E126"/>
  <c r="F129" s="1"/>
  <c r="D169"/>
  <c r="D170" s="1"/>
  <c r="E170" s="1"/>
  <c r="D113" l="1"/>
  <c r="E113" s="1"/>
  <c r="D115" s="1"/>
  <c r="E115" s="1"/>
  <c r="E37"/>
  <c r="E28"/>
  <c r="C12"/>
  <c r="E392"/>
  <c r="F395" s="1"/>
  <c r="F405" s="1"/>
  <c r="C14"/>
  <c r="C23"/>
  <c r="E23" s="1"/>
  <c r="C212"/>
  <c r="E261"/>
  <c r="D262" s="1"/>
  <c r="E262" s="1"/>
  <c r="F263" s="1"/>
  <c r="C24" s="1"/>
  <c r="E24" s="1"/>
  <c r="C24" i="8"/>
  <c r="B31" i="5"/>
  <c r="C21" i="8" s="1"/>
  <c r="C29" s="1"/>
  <c r="D198" i="2"/>
  <c r="E198" s="1"/>
  <c r="E225"/>
  <c r="D228" s="1"/>
  <c r="E228" s="1"/>
  <c r="F229" s="1"/>
  <c r="C21" s="1"/>
  <c r="C22" i="8"/>
  <c r="C13"/>
  <c r="C19" s="1"/>
  <c r="C28" s="1"/>
  <c r="E169" i="2"/>
  <c r="F170" s="1"/>
  <c r="D202"/>
  <c r="F247"/>
  <c r="C22" l="1"/>
  <c r="E22" s="1"/>
  <c r="E12"/>
  <c r="E14"/>
  <c r="E21"/>
  <c r="E202"/>
  <c r="D213"/>
  <c r="E213" s="1"/>
  <c r="C23" i="8"/>
  <c r="C26" s="1"/>
  <c r="C30"/>
  <c r="E116" i="2"/>
  <c r="D117" s="1"/>
  <c r="D203" l="1"/>
  <c r="E203" s="1"/>
  <c r="E204" s="1"/>
  <c r="D205" s="1"/>
  <c r="C217"/>
  <c r="D218" s="1"/>
  <c r="E218" s="1"/>
  <c r="E219" s="1"/>
  <c r="D220" s="1"/>
  <c r="E220" s="1"/>
  <c r="C31" i="8"/>
  <c r="C75" i="2" l="1"/>
  <c r="E75" s="1"/>
  <c r="E76" s="1"/>
  <c r="D77" s="1"/>
  <c r="C96"/>
  <c r="E96" s="1"/>
  <c r="E97" s="1"/>
  <c r="D98" s="1"/>
  <c r="E205"/>
  <c r="F206" s="1"/>
  <c r="F221"/>
  <c r="C117"/>
  <c r="E117" s="1"/>
  <c r="E118" s="1"/>
  <c r="D119" s="1"/>
  <c r="E119" s="1"/>
  <c r="F120" s="1"/>
  <c r="C11" s="1"/>
  <c r="C19" l="1"/>
  <c r="E19" s="1"/>
  <c r="E11"/>
  <c r="C20"/>
  <c r="E20" l="1"/>
  <c r="C18"/>
  <c r="D293"/>
  <c r="E293" s="1"/>
  <c r="D288"/>
  <c r="E288" s="1"/>
  <c r="E18" l="1"/>
  <c r="E294"/>
  <c r="D295" s="1"/>
  <c r="E295" s="1"/>
  <c r="F296" s="1"/>
  <c r="C27" l="1"/>
  <c r="E27" s="1"/>
  <c r="C25" l="1"/>
  <c r="E25" l="1"/>
  <c r="E175" l="1"/>
  <c r="D185" s="1"/>
  <c r="E185" l="1"/>
  <c r="F185" s="1"/>
  <c r="F188" l="1"/>
  <c r="C16" s="1"/>
  <c r="E16" s="1"/>
  <c r="F139"/>
  <c r="C13" l="1"/>
  <c r="E13" s="1"/>
  <c r="C38" l="1"/>
  <c r="E38" s="1"/>
  <c r="F372" l="1"/>
  <c r="C17" s="1"/>
  <c r="E17" l="1"/>
  <c r="E77"/>
  <c r="F78" s="1"/>
  <c r="C9" l="1"/>
  <c r="E9" l="1"/>
  <c r="E98"/>
  <c r="F99" s="1"/>
  <c r="F156" s="1"/>
  <c r="F408" s="1"/>
  <c r="C10" l="1"/>
  <c r="C8" l="1"/>
  <c r="E10"/>
  <c r="D413" l="1"/>
  <c r="E413" s="1"/>
  <c r="F414" s="1"/>
  <c r="F416" s="1"/>
  <c r="D423"/>
  <c r="E423" s="1"/>
  <c r="F424" s="1"/>
  <c r="F426" s="1"/>
  <c r="E8"/>
  <c r="E40" l="1"/>
  <c r="F428"/>
  <c r="C39"/>
  <c r="C41" s="1"/>
  <c r="F418"/>
  <c r="E41"/>
  <c r="F8" l="1"/>
  <c r="F40"/>
  <c r="D21"/>
  <c r="D23"/>
  <c r="D24"/>
  <c r="D13"/>
  <c r="D36"/>
  <c r="D16"/>
  <c r="D31"/>
  <c r="D37"/>
  <c r="D20"/>
  <c r="D17"/>
  <c r="D19"/>
  <c r="D28"/>
  <c r="D12"/>
  <c r="D33"/>
  <c r="D22"/>
  <c r="D38"/>
  <c r="D25"/>
  <c r="D11"/>
  <c r="D14"/>
  <c r="D35"/>
  <c r="D29"/>
  <c r="D27"/>
  <c r="D15"/>
  <c r="D30"/>
  <c r="D26"/>
  <c r="D18"/>
  <c r="D34"/>
  <c r="D9"/>
  <c r="D32"/>
  <c r="D10"/>
  <c r="D8"/>
  <c r="D39"/>
  <c r="F32"/>
  <c r="F21"/>
  <c r="F30"/>
  <c r="F34"/>
  <c r="F9"/>
  <c r="F38"/>
  <c r="F12"/>
  <c r="F11"/>
  <c r="F24"/>
  <c r="F16"/>
  <c r="F15"/>
  <c r="F35"/>
  <c r="F37"/>
  <c r="F29"/>
  <c r="F23"/>
  <c r="F33"/>
  <c r="F27"/>
  <c r="F17"/>
  <c r="F14"/>
  <c r="F18"/>
  <c r="F25"/>
  <c r="F36"/>
  <c r="F28"/>
  <c r="F22"/>
  <c r="F20"/>
  <c r="F26"/>
  <c r="F31"/>
  <c r="F13"/>
  <c r="F19"/>
  <c r="F10"/>
  <c r="F41" l="1"/>
  <c r="D41"/>
</calcChain>
</file>

<file path=xl/sharedStrings.xml><?xml version="1.0" encoding="utf-8"?>
<sst xmlns="http://schemas.openxmlformats.org/spreadsheetml/2006/main" count="872" uniqueCount="384">
  <si>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</si>
  <si>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</si>
  <si>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</si>
  <si>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</si>
  <si>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</si>
  <si>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</si>
  <si>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</si>
  <si>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</si>
  <si>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</si>
  <si>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</si>
  <si>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</si>
  <si>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</si>
  <si>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</si>
  <si>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</si>
  <si>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</si>
  <si>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</si>
  <si>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</si>
  <si>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</si>
  <si>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</si>
  <si>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</si>
  <si>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</si>
  <si>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</si>
  <si>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</si>
  <si>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</si>
  <si>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</si>
  <si>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</si>
  <si>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Calça</t>
  </si>
  <si>
    <t>R$</t>
  </si>
  <si>
    <t>Horas Extras (100%)</t>
  </si>
  <si>
    <t>Horas Extras (50%)</t>
  </si>
  <si>
    <t>Benefícios e despesas indiretas</t>
  </si>
  <si>
    <t>Custo mensal com manutenção</t>
  </si>
  <si>
    <t>Mão-de-obra</t>
  </si>
  <si>
    <t>Quantidade</t>
  </si>
  <si>
    <t>INSS</t>
  </si>
  <si>
    <t>FGTS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</si>
  <si>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</si>
  <si>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</si>
  <si>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</si>
  <si>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</si>
  <si>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</si>
  <si>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</si>
  <si>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</si>
  <si>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</si>
  <si>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</si>
  <si>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</si>
  <si>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</si>
  <si>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</si>
  <si>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Total de mão-de-obra (postos de trabalho)</t>
  </si>
  <si>
    <t>Custo mensal com implantação</t>
  </si>
  <si>
    <t>3.1.6. Pneus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</si>
  <si>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</si>
  <si>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</si>
  <si>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</si>
  <si>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</si>
  <si>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Custo de recapagem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</si>
  <si>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</si>
  <si>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</si>
  <si>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</si>
  <si>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</si>
  <si>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</si>
  <si>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</si>
  <si>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</si>
  <si>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</si>
  <si>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</si>
  <si>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</si>
  <si>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</si>
  <si>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</si>
  <si>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</si>
  <si>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</si>
  <si>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</si>
  <si>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</si>
  <si>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</si>
  <si>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</si>
  <si>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</si>
  <si>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</si>
  <si>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Quantitativos</t>
  </si>
  <si>
    <t>horas trabalhadas</t>
  </si>
  <si>
    <t>Horas Extras Noturnas (100%)</t>
  </si>
  <si>
    <t>hora contabilizada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</si>
  <si>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</si>
  <si>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</si>
  <si>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</si>
  <si>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</si>
  <si>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</si>
  <si>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</si>
  <si>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</si>
  <si>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</si>
  <si>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</si>
  <si>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</si>
  <si>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</si>
  <si>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</si>
  <si>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</si>
  <si>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</si>
  <si>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</si>
  <si>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</si>
  <si>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</si>
  <si>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</si>
  <si>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</si>
  <si>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</si>
  <si>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</si>
  <si>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</si>
  <si>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</si>
  <si>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</si>
  <si>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</si>
  <si>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</si>
  <si>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</si>
  <si>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</si>
  <si>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</si>
  <si>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</si>
  <si>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</si>
  <si>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</si>
  <si>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</si>
  <si>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</si>
  <si>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</si>
  <si>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</si>
  <si>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</si>
  <si>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</si>
  <si>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</si>
  <si>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</si>
  <si>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</si>
  <si>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</si>
  <si>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</si>
  <si>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</si>
  <si>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</si>
  <si>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</si>
  <si>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</si>
  <si>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</si>
  <si>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</si>
  <si>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</si>
  <si>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</si>
  <si>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</si>
  <si>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</si>
  <si>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</si>
  <si>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</si>
  <si>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</si>
  <si>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</si>
  <si>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</si>
  <si>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</si>
  <si>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</si>
  <si>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</si>
  <si>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</si>
  <si>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</si>
  <si>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</si>
  <si>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</si>
  <si>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</si>
  <si>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</si>
  <si>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</si>
  <si>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</si>
  <si>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</si>
  <si>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</si>
  <si>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</si>
  <si>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</si>
  <si>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</si>
  <si>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</si>
  <si>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</si>
  <si>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</si>
  <si>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</si>
  <si>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</si>
  <si>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Fator de utilização</t>
  </si>
  <si>
    <t>Higienização de uniformes e EPIs</t>
  </si>
  <si>
    <t>Custo Mensal com Uniformes e EPIs (R$/mês)</t>
  </si>
  <si>
    <t>Descrição do Item</t>
  </si>
  <si>
    <t>Orçamento Sintético</t>
  </si>
  <si>
    <t>Rio Grande do Sul  - Coleta de Resíduos Não-Perigosos - CNAE 38114</t>
  </si>
  <si>
    <t>Idade do veículo (ano)</t>
  </si>
  <si>
    <t>Idade do veículo</t>
  </si>
  <si>
    <t>Valor do veículo proposto (V0)</t>
  </si>
  <si>
    <t>Taxa de juros anual nominal</t>
  </si>
  <si>
    <t>Base de cálculo da Insalubridade</t>
  </si>
  <si>
    <t>Horas Extras Noturnas (50%)</t>
  </si>
  <si>
    <t>Descanso Semanal Remunerado (DSR) - hora extra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</si>
  <si>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</si>
  <si>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</si>
  <si>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</si>
  <si>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</si>
  <si>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</si>
  <si>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</si>
  <si>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</si>
  <si>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3. CAGED</t>
  </si>
  <si>
    <t xml:space="preserve">2. Composição dos Encargos Sociais 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</si>
  <si>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</si>
  <si>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</si>
  <si>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</si>
  <si>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</si>
  <si>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</si>
  <si>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</si>
  <si>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</si>
  <si>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</si>
  <si>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CÁLCULO DAS VERBAS INDENIZATÓRIAS DOS EMPREGADOS NO SETOR DE COLETA DE RSU</t>
  </si>
  <si>
    <t>1/3 de férias (dias)</t>
  </si>
  <si>
    <t>Férias (dias)</t>
  </si>
  <si>
    <t>13º Salário (dias)</t>
  </si>
  <si>
    <t>Rotatividade temporal (meses)</t>
  </si>
  <si>
    <t>Fórmula de cálculo da remuneração de capital:</t>
  </si>
  <si>
    <t>Durabilidade (meses)</t>
  </si>
  <si>
    <t>Custo com consumos/km rodado</t>
  </si>
  <si>
    <t>Consumo</t>
  </si>
  <si>
    <t>Total da frota</t>
  </si>
  <si>
    <t>Depreciação Média</t>
  </si>
  <si>
    <t>Reincidência de FGTS sobre aviso prévio indenizado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</si>
  <si>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</si>
  <si>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</si>
  <si>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</si>
  <si>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</si>
  <si>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</si>
  <si>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</si>
  <si>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</si>
  <si>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</si>
  <si>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>01/01 - Confraternização Universal</t>
  </si>
  <si>
    <t>21/04 - Tiradentes</t>
  </si>
  <si>
    <t>01/05 - Dia do Trabalho</t>
  </si>
  <si>
    <t>07/09 - Independência do Brasil</t>
  </si>
  <si>
    <t>20/09 - Revolução Farroupilha</t>
  </si>
  <si>
    <t>02/11 - Finados</t>
  </si>
  <si>
    <t>15/11 - Proclamação da República</t>
  </si>
  <si>
    <t>25/12 - Natal</t>
  </si>
  <si>
    <t>Municipais</t>
  </si>
  <si>
    <t>Sub-Total</t>
  </si>
  <si>
    <t>Nº do processo:</t>
  </si>
  <si>
    <t>Licitação nº:</t>
  </si>
  <si>
    <t xml:space="preserve">Dia: </t>
  </si>
  <si>
    <r>
      <t xml:space="preserve">PLANILHA DE COMPOSIÇÃO DE CUSTOS E FORMAÇÃO DE PREÇO </t>
    </r>
    <r>
      <rPr>
        <b/>
        <sz val="16"/>
        <color indexed="20"/>
        <rFont val="Arial"/>
        <family val="2"/>
      </rPr>
      <t xml:space="preserve"> </t>
    </r>
  </si>
  <si>
    <t>1. Coleta de Resíduos Sólidos Urbanos (RSU) - Automatizada</t>
  </si>
  <si>
    <t>Vida útil do coletor lateral e do compactador</t>
  </si>
  <si>
    <t>Idade do coletor lateral e do compactador</t>
  </si>
  <si>
    <t>Depreciação do coletor lateral e do compactador</t>
  </si>
  <si>
    <t>Depr. mensal coletor lateral e do compactador</t>
  </si>
  <si>
    <t>Custo do coletor lateral e do compactador</t>
  </si>
  <si>
    <t>12/10 - Nossa Senhora Aparecida</t>
  </si>
  <si>
    <t>FERIADOS NACIONAIS, ESTADUAIS E MUNICIPAIS</t>
  </si>
  <si>
    <t>Nacionais / Estaduais</t>
  </si>
  <si>
    <t>Coincidências com domingos (média)</t>
  </si>
  <si>
    <t>Vida útil dos contêineres</t>
  </si>
  <si>
    <t>Idade dos contêineres</t>
  </si>
  <si>
    <t>Depreciação dos contêineres</t>
  </si>
  <si>
    <t>Total do Veículo + Coletor lateral + Compactador</t>
  </si>
  <si>
    <t>Depreciação mensal dos contêineres</t>
  </si>
  <si>
    <t>Total do contêiner</t>
  </si>
  <si>
    <t>Total dos contêineres</t>
  </si>
  <si>
    <t>Valor do contêiner proposto (V0)</t>
  </si>
  <si>
    <t>Investimento médio total do contêiner</t>
  </si>
  <si>
    <t>Remuneração mensal de capital do contêiner</t>
  </si>
  <si>
    <t>Custo do contêiner</t>
  </si>
  <si>
    <t>Total por contêiner</t>
  </si>
  <si>
    <t>Total do conjunto de contêineres</t>
  </si>
  <si>
    <t>Valor do coletor lateral e compactador proposto (V0)</t>
  </si>
  <si>
    <t>Investimento médio total do coletor lateral e compactador</t>
  </si>
  <si>
    <t>Remuneração mensal de capital coletor lateral e do compactador</t>
  </si>
  <si>
    <t>Total por veículo equipado</t>
  </si>
  <si>
    <t>Depreciação mensal veículos higienizadores</t>
  </si>
  <si>
    <t>Quilometragem mensal (coleta)</t>
  </si>
  <si>
    <t>Custo de manutenção dos contêineres</t>
  </si>
  <si>
    <t>R$/mês</t>
  </si>
  <si>
    <t>3.2.1. Depreciação</t>
  </si>
  <si>
    <t>3.2.2. Remuneração do Capital</t>
  </si>
  <si>
    <t>3.2.3. Impostos e Seguros</t>
  </si>
  <si>
    <t>3.2.4. Consumos</t>
  </si>
  <si>
    <t>Quilometragem mensal (higienização)</t>
  </si>
  <si>
    <t>3.2.5. Manutenção</t>
  </si>
  <si>
    <t>3.2.6. Pneus</t>
  </si>
  <si>
    <t>Custo do dispositivo de higienização e lavagem</t>
  </si>
  <si>
    <t>Valor do dispositivo de higienização e lavagem (V0)</t>
  </si>
  <si>
    <t>Remuneração mensal de capital do dispositivo de higienização e lavagem</t>
  </si>
  <si>
    <t>Desconto previsto na CCT</t>
  </si>
  <si>
    <t>Custo mensal ARLA 32</t>
  </si>
  <si>
    <t>Horas / mês</t>
  </si>
  <si>
    <t>Custo de locação caminhão munck (toco)</t>
  </si>
  <si>
    <t>Vriável - Sexta feira Santa</t>
  </si>
  <si>
    <t>Variável - Corpus Cristhi</t>
  </si>
  <si>
    <t>Total feriados a considerar</t>
  </si>
  <si>
    <t>Custo com lavagens</t>
  </si>
  <si>
    <t>Mês</t>
  </si>
  <si>
    <t>Recipiente térmico para água (5L) - 2 pçs</t>
  </si>
  <si>
    <t>Pá de Concha - 2 pçs</t>
  </si>
  <si>
    <t>Vassourão - 4 pçs</t>
  </si>
  <si>
    <t>Escova com cerdas de aço - 4 pçs</t>
  </si>
  <si>
    <t>pçs / ano</t>
  </si>
  <si>
    <t>Balde - 4 pçs</t>
  </si>
  <si>
    <t>Vassoura - 8 pçs</t>
  </si>
  <si>
    <t>Total Veículo + disp. higienização e lavagem</t>
  </si>
  <si>
    <t xml:space="preserve">Fator de utilização (FU) </t>
  </si>
  <si>
    <t>2.1. Uniformes e EPIs para motoristas</t>
  </si>
  <si>
    <t>Depreciação Referencial TCE/RS (%)</t>
  </si>
  <si>
    <t>Remuneração de Capital</t>
  </si>
  <si>
    <t>Boné</t>
  </si>
  <si>
    <t>Unid.</t>
  </si>
  <si>
    <t>pç</t>
  </si>
  <si>
    <t>Meias</t>
  </si>
  <si>
    <t>Camisetas</t>
  </si>
  <si>
    <t>CUSTO COM LAVAGEM UNIFORMES  -   Motoristas</t>
  </si>
  <si>
    <t>Qtde. Lavagens mês</t>
  </si>
  <si>
    <t>Total pçs.
Lavadas
mês</t>
  </si>
  <si>
    <t>Peso
Gramas
p/pç</t>
  </si>
  <si>
    <t>Preço da lavagem por Kg</t>
  </si>
  <si>
    <t>Custo
Mensal</t>
  </si>
  <si>
    <t>Qtde.
p/Func.</t>
  </si>
  <si>
    <t>Jaqueta com reflexivo (NBR 15.292) - 2 pçs</t>
  </si>
  <si>
    <t>Calça - 4 pçs</t>
  </si>
  <si>
    <t>Camiseta - 4 pçs</t>
  </si>
  <si>
    <t>Bonés - 3 pçs</t>
  </si>
  <si>
    <t>Capa de chuva amarela com reflexivo - 1 pç</t>
  </si>
  <si>
    <t>Protetor solar FPS 30 - 4 unid.</t>
  </si>
  <si>
    <t>Botina de segurança c/ palmilha aço - 2 pares</t>
  </si>
  <si>
    <t>Jaqueta (usa cinco meses)</t>
  </si>
  <si>
    <t>Peso mensal
Kg</t>
  </si>
  <si>
    <t>Dias uso
s/lavar
(dias)</t>
  </si>
  <si>
    <t>Fator de utilização
(% ano)</t>
  </si>
  <si>
    <t>Residual</t>
  </si>
  <si>
    <t>LUCRO REAL</t>
  </si>
  <si>
    <t>LUCRO PRESUMIDO</t>
  </si>
  <si>
    <t>Formas de Tributação</t>
  </si>
  <si>
    <t>Custo
(R$/mês)</t>
  </si>
  <si>
    <t>AV %</t>
  </si>
  <si>
    <t>CUSTO TOTAL MENSAL C/CUSTOS E DESP. OPERACIONAIS (R$/mês) - LUCRO REAL E PRESUMIDO</t>
  </si>
  <si>
    <t>CUSTO MENSAL COM BDI (R$/mês) - LUCRO REAL</t>
  </si>
  <si>
    <t>PREÇO MENSAL TOTAL (R$/mês) - LUCRO REAL   =  "A"</t>
  </si>
  <si>
    <t>CUSTO MENSAL COM BDI (R$/mês) - LUCRO PRESUMIDO</t>
  </si>
  <si>
    <t>PREÇO MENSAL TOTAL (R$/mês) - LUCRO PRESUMIDO   =  "AA"</t>
  </si>
  <si>
    <t>B.D.I. PARA EMPRESAS DO LUCRO REAL</t>
  </si>
  <si>
    <t>Composição BDI - Benefícios e Desp. Indiretas</t>
  </si>
  <si>
    <t>B.D.I. PARA EMPRESAS DO LUCRO PRESUMIDO</t>
  </si>
  <si>
    <t>Custo aquisição coletor lateral e do compactador</t>
  </si>
  <si>
    <t>Depr. mensal dispositivo higienização/lavagem</t>
  </si>
  <si>
    <t>Invest. médio total dispositivo higienização/lavagem</t>
  </si>
  <si>
    <t>Equipe e Equipamentos de coleta</t>
  </si>
  <si>
    <r>
      <rPr>
        <b/>
        <sz val="10"/>
        <rFont val="Arial"/>
        <family val="2"/>
      </rPr>
      <t>Obs.</t>
    </r>
    <r>
      <rPr>
        <sz val="10"/>
        <rFont val="Arial"/>
        <family val="2"/>
      </rPr>
      <t>: Não foi atualizada, pois o site só tem dados disponíveis até 31/12/2019 e gerando conforme orientação, traz como estoque recuperado início do período, igual a zero.
Entendemos que este percentual espelha a realidade.</t>
    </r>
  </si>
  <si>
    <t>Motorista coleta (Vlr líq. desc. 6,% s/piso sal.)</t>
  </si>
  <si>
    <t>Motorista coleta</t>
  </si>
  <si>
    <t>Total do Efetivo motoristas da coleta</t>
  </si>
  <si>
    <t>5.2- Veículo de higienização</t>
  </si>
  <si>
    <t>5.1- Veículo de coleta</t>
  </si>
  <si>
    <t>Total unitário</t>
  </si>
  <si>
    <t>Salário</t>
  </si>
  <si>
    <t>Motorista higienização</t>
  </si>
  <si>
    <t>Auxiliar</t>
  </si>
  <si>
    <t>Jaqueta com reflexivo (NBR 15.292) - 4 pçs/Ano</t>
  </si>
  <si>
    <t>Calça - 8 pçs/Ano</t>
  </si>
  <si>
    <t>Camiseta - 8 pçs/Ano</t>
  </si>
  <si>
    <t>Calçado de segurança c/palmilha aço - 6 pares/Ano</t>
  </si>
  <si>
    <t>Meias - 8 pares/Ano</t>
  </si>
  <si>
    <t>Capa de chuva amarela com reflexivo - 1 pç/Ano</t>
  </si>
  <si>
    <t>Bonés - 2 pçs/Ano</t>
  </si>
  <si>
    <t>Colete refletivo - 4 pç/Ano</t>
  </si>
  <si>
    <t>Luvas de proteção - 8 pares/ano</t>
  </si>
  <si>
    <t>Protetor solar FPS 30 - 4 unid./Ano</t>
  </si>
  <si>
    <t>Custo mensal com Arla 32</t>
  </si>
  <si>
    <t>Km</t>
  </si>
  <si>
    <t>Custo com balsa</t>
  </si>
  <si>
    <t>Custo do jogo de pneus 295 / 80 / R 22,5</t>
  </si>
  <si>
    <r>
      <t>Custo jg. Completo +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recapagens / km rodado</t>
    </r>
  </si>
  <si>
    <t>Motorista higienização (Vlr líq. desc. 6,% s/piso sal.)</t>
  </si>
  <si>
    <t>Licenciamento</t>
  </si>
  <si>
    <t>Custo com lavagens (4 por mês)</t>
  </si>
  <si>
    <t>L água/Cont./Mês</t>
  </si>
  <si>
    <t>Custo aquisição dispositivo de lavagem</t>
  </si>
  <si>
    <t>Vida útil do dispositivo de lavagem</t>
  </si>
  <si>
    <t>Idade do dispositivo de lavagem</t>
  </si>
  <si>
    <t>Depr. do dispositivo de lavagem</t>
  </si>
  <si>
    <t>Equipe e Equipamentos de lavagem</t>
  </si>
  <si>
    <t>2.3. Uniformes e EPIs para Auxiliar</t>
  </si>
  <si>
    <t>Contêineres</t>
  </si>
  <si>
    <t>19/03 - São José</t>
  </si>
  <si>
    <t>04/07 - Aniversário do município</t>
  </si>
  <si>
    <t>3.2. Veículo 4x2 c/dispositivo lavagem e higienização</t>
  </si>
  <si>
    <r>
      <t xml:space="preserve">Associação de tensoativos: </t>
    </r>
    <r>
      <rPr>
        <b/>
        <sz val="10"/>
        <rFont val="Arial"/>
        <family val="2"/>
      </rPr>
      <t>R$ 23,56 / Litro</t>
    </r>
    <r>
      <rPr>
        <sz val="10"/>
        <rFont val="Arial"/>
        <family val="2"/>
      </rPr>
      <t xml:space="preserve">
(3L p/5.000L água - consome 20 L por conteiner)</t>
    </r>
  </si>
  <si>
    <t>6. Benefícios e Despesas Indiretas - BDI - LUCRO REAL</t>
  </si>
  <si>
    <t>7. Benefícios e Despesas Indiretas - BDI - LUCRO PRESUMIDO</t>
  </si>
  <si>
    <t>Custo de aquisição dos contêineres</t>
  </si>
  <si>
    <t>CUSTO COM LAVAGEM UNIFORMES  -   Auxiliar</t>
  </si>
  <si>
    <t>Total do Efetivo auxiliar da higienização</t>
  </si>
  <si>
    <t>3.1. Veículo Coletor Truck c/Compactador de 19 m³</t>
  </si>
  <si>
    <t>1.1. Motorista caminhão Coletor</t>
  </si>
  <si>
    <t>1.2. Motorista Veículo Higienizador</t>
  </si>
  <si>
    <t xml:space="preserve">1.3. Auxiliar </t>
  </si>
  <si>
    <t>1.4. Vale Transporte</t>
  </si>
  <si>
    <t>1.5. Vale-refeição (diário)</t>
  </si>
  <si>
    <t>1.6. Auxílio Alimentação (mensal)</t>
  </si>
  <si>
    <t>1.7. Plano de Benefício Social Familiar (mensal)</t>
  </si>
  <si>
    <t>3.3. Contêineres 2,40 m³, com carga lateral</t>
  </si>
  <si>
    <t>3.3.1. Depreciação contêineres</t>
  </si>
  <si>
    <t>3.3.2. Remuneração do Capital contêineres</t>
  </si>
  <si>
    <t>3.3.3. Manutenção e reposição contêineres 2,40 m³</t>
  </si>
  <si>
    <t>3.4 Locação de Caminhão Munck (toco) c/operador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</si>
</sst>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(* #,##0.0000_);_(* \(#,##0.0000\);_(* &quot;-&quot;??_);_(@_)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6"/>
      <color indexed="20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42">
    <xf numFmtId="0" fontId="0" fillId="0" borderId="0" xfId="0"/>
    <xf numFmtId="0" fontId="8" fillId="0" borderId="0" xfId="0" applyFont="1"/>
    <xf numFmtId="0" fontId="0" fillId="0" borderId="0" xfId="0" applyAlignment="1">
      <alignment vertical="center"/>
    </xf>
    <xf numFmtId="165" fontId="0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5" fontId="8" fillId="0" borderId="2" xfId="3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6" xfId="3" applyFont="1" applyBorder="1" applyAlignment="1">
      <alignment vertical="center"/>
    </xf>
    <xf numFmtId="165" fontId="5" fillId="0" borderId="7" xfId="3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8" fillId="0" borderId="6" xfId="3" applyFont="1" applyBorder="1" applyAlignment="1">
      <alignment vertical="center"/>
    </xf>
    <xf numFmtId="165" fontId="8" fillId="0" borderId="7" xfId="3" applyFont="1" applyBorder="1" applyAlignment="1">
      <alignment vertical="center"/>
    </xf>
    <xf numFmtId="165" fontId="5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5" fillId="0" borderId="0" xfId="3" applyFont="1" applyBorder="1" applyAlignment="1">
      <alignment vertical="center"/>
    </xf>
    <xf numFmtId="165" fontId="0" fillId="0" borderId="10" xfId="3" applyFont="1" applyBorder="1" applyAlignment="1">
      <alignment vertical="center"/>
    </xf>
    <xf numFmtId="165" fontId="5" fillId="0" borderId="11" xfId="3" applyFont="1" applyBorder="1" applyAlignment="1">
      <alignment horizontal="center" vertical="center"/>
    </xf>
    <xf numFmtId="165" fontId="5" fillId="0" borderId="5" xfId="3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centerContinuous" vertical="center"/>
    </xf>
    <xf numFmtId="165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centerContinuous" vertical="center"/>
    </xf>
    <xf numFmtId="165" fontId="5" fillId="0" borderId="12" xfId="3" applyFont="1" applyBorder="1" applyAlignment="1">
      <alignment horizontal="right" vertical="center"/>
    </xf>
    <xf numFmtId="165" fontId="0" fillId="0" borderId="13" xfId="3" applyFont="1" applyBorder="1" applyAlignment="1">
      <alignment vertical="center"/>
    </xf>
    <xf numFmtId="165" fontId="8" fillId="0" borderId="1" xfId="3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10" fontId="0" fillId="0" borderId="14" xfId="2" applyNumberFormat="1" applyFont="1" applyBorder="1" applyAlignment="1">
      <alignment vertical="center"/>
    </xf>
    <xf numFmtId="165" fontId="8" fillId="0" borderId="0" xfId="3" applyFont="1" applyBorder="1" applyAlignment="1">
      <alignment vertical="center"/>
    </xf>
    <xf numFmtId="165" fontId="5" fillId="0" borderId="18" xfId="3" applyFont="1" applyBorder="1" applyAlignment="1">
      <alignment horizontal="center" vertical="center"/>
    </xf>
    <xf numFmtId="165" fontId="3" fillId="0" borderId="13" xfId="3" applyFont="1" applyBorder="1" applyAlignment="1">
      <alignment horizontal="left" vertical="center"/>
    </xf>
    <xf numFmtId="165" fontId="8" fillId="0" borderId="8" xfId="3" applyFont="1" applyBorder="1" applyAlignment="1">
      <alignment vertical="center"/>
    </xf>
    <xf numFmtId="165" fontId="8" fillId="0" borderId="13" xfId="3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65" fontId="5" fillId="0" borderId="27" xfId="3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1" fontId="5" fillId="0" borderId="30" xfId="3" applyNumberFormat="1" applyFont="1" applyBorder="1" applyAlignment="1">
      <alignment horizontal="center" vertical="center"/>
    </xf>
    <xf numFmtId="165" fontId="14" fillId="0" borderId="1" xfId="3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8" fillId="0" borderId="1" xfId="3" applyFont="1" applyFill="1" applyBorder="1" applyAlignment="1">
      <alignment horizontal="center" vertical="center"/>
    </xf>
    <xf numFmtId="166" fontId="8" fillId="0" borderId="1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165" fontId="8" fillId="0" borderId="2" xfId="3" applyFont="1" applyFill="1" applyBorder="1" applyAlignment="1">
      <alignment horizontal="center" vertical="center"/>
    </xf>
    <xf numFmtId="0" fontId="5" fillId="0" borderId="0" xfId="0" applyFont="1"/>
    <xf numFmtId="165" fontId="5" fillId="0" borderId="1" xfId="3" applyFont="1" applyFill="1" applyBorder="1" applyAlignment="1">
      <alignment horizontal="center" vertical="center"/>
    </xf>
    <xf numFmtId="165" fontId="5" fillId="0" borderId="3" xfId="3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5" fillId="0" borderId="13" xfId="3" applyFont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165" fontId="5" fillId="0" borderId="8" xfId="3" applyFont="1" applyBorder="1" applyAlignment="1">
      <alignment vertical="center"/>
    </xf>
    <xf numFmtId="10" fontId="5" fillId="0" borderId="14" xfId="2" applyNumberFormat="1" applyFont="1" applyBorder="1" applyAlignment="1">
      <alignment vertical="center"/>
    </xf>
    <xf numFmtId="165" fontId="5" fillId="0" borderId="37" xfId="3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5" fontId="8" fillId="0" borderId="38" xfId="3" applyFont="1" applyBorder="1" applyAlignment="1">
      <alignment vertical="center"/>
    </xf>
    <xf numFmtId="4" fontId="5" fillId="0" borderId="8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165" fontId="8" fillId="5" borderId="1" xfId="3" applyFont="1" applyFill="1" applyBorder="1" applyAlignment="1">
      <alignment horizontal="center" vertical="center"/>
    </xf>
    <xf numFmtId="165" fontId="8" fillId="5" borderId="1" xfId="3" applyFont="1" applyFill="1" applyBorder="1" applyAlignment="1">
      <alignment vertical="center"/>
    </xf>
    <xf numFmtId="10" fontId="8" fillId="0" borderId="14" xfId="2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/>
    <xf numFmtId="165" fontId="8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7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8" xfId="3" applyFont="1" applyFill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18" fillId="0" borderId="13" xfId="0" applyFont="1" applyBorder="1"/>
    <xf numFmtId="0" fontId="8" fillId="0" borderId="0" xfId="0" applyFont="1" applyBorder="1"/>
    <xf numFmtId="0" fontId="18" fillId="0" borderId="41" xfId="0" applyFont="1" applyBorder="1"/>
    <xf numFmtId="0" fontId="18" fillId="2" borderId="19" xfId="0" applyFont="1" applyFill="1" applyBorder="1"/>
    <xf numFmtId="0" fontId="18" fillId="0" borderId="22" xfId="0" applyFont="1" applyBorder="1"/>
    <xf numFmtId="0" fontId="18" fillId="0" borderId="42" xfId="0" applyFont="1" applyBorder="1"/>
    <xf numFmtId="0" fontId="18" fillId="0" borderId="19" xfId="0" applyFont="1" applyBorder="1"/>
    <xf numFmtId="0" fontId="18" fillId="0" borderId="27" xfId="0" applyFont="1" applyBorder="1"/>
    <xf numFmtId="0" fontId="19" fillId="0" borderId="2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19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19" xfId="0" applyNumberFormat="1" applyFont="1" applyBorder="1" applyAlignment="1">
      <alignment horizontal="right" vertical="center"/>
    </xf>
    <xf numFmtId="0" fontId="19" fillId="4" borderId="22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10" fontId="23" fillId="4" borderId="19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8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8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23" fillId="7" borderId="35" xfId="0" applyFont="1" applyFill="1" applyBorder="1" applyAlignment="1">
      <alignment horizontal="left" vertical="center"/>
    </xf>
    <xf numFmtId="10" fontId="23" fillId="7" borderId="36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10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7" fillId="0" borderId="14" xfId="0" applyFont="1" applyBorder="1"/>
    <xf numFmtId="0" fontId="7" fillId="0" borderId="22" xfId="0" applyFont="1" applyBorder="1"/>
    <xf numFmtId="0" fontId="7" fillId="2" borderId="19" xfId="0" applyFont="1" applyFill="1" applyBorder="1"/>
    <xf numFmtId="0" fontId="7" fillId="0" borderId="41" xfId="0" applyFont="1" applyBorder="1"/>
    <xf numFmtId="0" fontId="7" fillId="2" borderId="42" xfId="0" applyFont="1" applyFill="1" applyBorder="1"/>
    <xf numFmtId="0" fontId="7" fillId="0" borderId="43" xfId="0" applyFont="1" applyBorder="1"/>
    <xf numFmtId="0" fontId="7" fillId="2" borderId="44" xfId="0" applyFont="1" applyFill="1" applyBorder="1"/>
    <xf numFmtId="0" fontId="7" fillId="0" borderId="37" xfId="0" applyFont="1" applyBorder="1"/>
    <xf numFmtId="0" fontId="7" fillId="0" borderId="38" xfId="0" applyFont="1" applyBorder="1"/>
    <xf numFmtId="0" fontId="9" fillId="0" borderId="42" xfId="0" applyFont="1" applyBorder="1"/>
    <xf numFmtId="0" fontId="9" fillId="0" borderId="37" xfId="0" applyFont="1" applyFill="1" applyBorder="1" applyAlignment="1">
      <alignment horizontal="left" vertical="center"/>
    </xf>
    <xf numFmtId="0" fontId="7" fillId="0" borderId="0" xfId="0" applyFont="1" applyBorder="1"/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10" fontId="7" fillId="0" borderId="19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10" fontId="7" fillId="0" borderId="26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vertical="center"/>
    </xf>
    <xf numFmtId="1" fontId="8" fillId="0" borderId="0" xfId="3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5" fontId="5" fillId="0" borderId="5" xfId="3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8" xfId="3" applyFont="1" applyBorder="1" applyAlignment="1">
      <alignment horizontal="center" vertical="center"/>
    </xf>
    <xf numFmtId="167" fontId="8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7" fontId="5" fillId="0" borderId="1" xfId="3" applyNumberFormat="1" applyFont="1" applyBorder="1" applyAlignment="1">
      <alignment horizontal="center" vertical="center"/>
    </xf>
    <xf numFmtId="167" fontId="8" fillId="0" borderId="2" xfId="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45" xfId="0" applyFont="1" applyBorder="1" applyAlignment="1">
      <alignment horizontal="center" vertical="center"/>
    </xf>
    <xf numFmtId="165" fontId="5" fillId="0" borderId="45" xfId="3" applyFont="1" applyBorder="1" applyAlignment="1">
      <alignment horizontal="center" vertical="center"/>
    </xf>
    <xf numFmtId="165" fontId="5" fillId="0" borderId="45" xfId="3" applyFont="1" applyFill="1" applyBorder="1" applyAlignment="1">
      <alignment horizontal="center" vertical="center"/>
    </xf>
    <xf numFmtId="0" fontId="7" fillId="0" borderId="19" xfId="0" applyFont="1" applyFill="1" applyBorder="1"/>
    <xf numFmtId="169" fontId="9" fillId="0" borderId="19" xfId="0" applyNumberFormat="1" applyFont="1" applyBorder="1"/>
    <xf numFmtId="9" fontId="18" fillId="0" borderId="19" xfId="2" applyFont="1" applyBorder="1"/>
    <xf numFmtId="10" fontId="18" fillId="0" borderId="19" xfId="2" applyNumberFormat="1" applyFont="1" applyBorder="1"/>
    <xf numFmtId="9" fontId="9" fillId="0" borderId="30" xfId="2" applyFont="1" applyBorder="1"/>
    <xf numFmtId="0" fontId="7" fillId="0" borderId="46" xfId="0" applyFont="1" applyBorder="1"/>
    <xf numFmtId="0" fontId="3" fillId="0" borderId="0" xfId="4" applyFont="1"/>
    <xf numFmtId="0" fontId="5" fillId="0" borderId="47" xfId="4" applyFont="1" applyBorder="1"/>
    <xf numFmtId="166" fontId="3" fillId="0" borderId="48" xfId="5" applyNumberFormat="1" applyFont="1" applyBorder="1"/>
    <xf numFmtId="0" fontId="5" fillId="0" borderId="51" xfId="4" applyFont="1" applyBorder="1"/>
    <xf numFmtId="166" fontId="5" fillId="0" borderId="52" xfId="5" applyNumberFormat="1" applyFont="1" applyBorder="1"/>
    <xf numFmtId="166" fontId="5" fillId="0" borderId="48" xfId="5" applyNumberFormat="1" applyFont="1" applyBorder="1"/>
    <xf numFmtId="16" fontId="3" fillId="0" borderId="47" xfId="4" applyNumberFormat="1" applyFont="1" applyBorder="1"/>
    <xf numFmtId="0" fontId="3" fillId="0" borderId="47" xfId="4" applyFont="1" applyBorder="1"/>
    <xf numFmtId="166" fontId="3" fillId="0" borderId="48" xfId="5" applyNumberFormat="1" applyFont="1" applyFill="1" applyBorder="1"/>
    <xf numFmtId="0" fontId="5" fillId="0" borderId="49" xfId="4" applyFont="1" applyBorder="1"/>
    <xf numFmtId="165" fontId="5" fillId="0" borderId="50" xfId="5" applyNumberFormat="1" applyFont="1" applyBorder="1"/>
    <xf numFmtId="166" fontId="3" fillId="0" borderId="0" xfId="5" applyNumberFormat="1" applyFont="1"/>
    <xf numFmtId="0" fontId="12" fillId="0" borderId="0" xfId="4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8" fillId="0" borderId="28" xfId="3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7" fontId="8" fillId="0" borderId="2" xfId="3" applyNumberFormat="1" applyFont="1" applyFill="1" applyBorder="1" applyAlignment="1">
      <alignment horizontal="center" vertical="center"/>
    </xf>
    <xf numFmtId="165" fontId="0" fillId="0" borderId="13" xfId="3" applyFont="1" applyFill="1" applyBorder="1" applyAlignment="1">
      <alignment vertical="center"/>
    </xf>
    <xf numFmtId="165" fontId="5" fillId="0" borderId="13" xfId="3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5" fillId="0" borderId="33" xfId="4" applyFont="1" applyBorder="1" applyAlignment="1">
      <alignment horizontal="left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165" fontId="8" fillId="0" borderId="37" xfId="3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65" fontId="5" fillId="0" borderId="38" xfId="3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5" fontId="5" fillId="0" borderId="38" xfId="3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33" fillId="0" borderId="37" xfId="1" applyFont="1" applyBorder="1" applyAlignment="1" applyProtection="1">
      <alignment vertical="center"/>
    </xf>
    <xf numFmtId="165" fontId="8" fillId="0" borderId="38" xfId="3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3" fillId="0" borderId="4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4" fillId="0" borderId="3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5" fontId="5" fillId="0" borderId="38" xfId="3" applyFont="1" applyBorder="1" applyAlignment="1">
      <alignment horizontal="center" vertical="center"/>
    </xf>
    <xf numFmtId="0" fontId="33" fillId="0" borderId="37" xfId="1" applyFont="1" applyFill="1" applyBorder="1" applyAlignment="1" applyProtection="1">
      <alignment vertical="center"/>
    </xf>
    <xf numFmtId="0" fontId="8" fillId="0" borderId="43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vertical="center"/>
    </xf>
    <xf numFmtId="165" fontId="5" fillId="0" borderId="38" xfId="3" applyFont="1" applyFill="1" applyBorder="1" applyAlignment="1">
      <alignment horizontal="center" vertical="center"/>
    </xf>
    <xf numFmtId="165" fontId="8" fillId="0" borderId="38" xfId="3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165" fontId="6" fillId="0" borderId="38" xfId="3" applyFont="1" applyBorder="1" applyAlignment="1">
      <alignment vertical="center"/>
    </xf>
    <xf numFmtId="165" fontId="8" fillId="0" borderId="1" xfId="3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165" fontId="8" fillId="0" borderId="1" xfId="3" applyNumberFormat="1" applyFont="1" applyFill="1" applyBorder="1" applyAlignment="1">
      <alignment vertical="center"/>
    </xf>
    <xf numFmtId="2" fontId="8" fillId="0" borderId="0" xfId="0" applyNumberFormat="1" applyFont="1"/>
    <xf numFmtId="0" fontId="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" fontId="19" fillId="0" borderId="52" xfId="0" applyNumberFormat="1" applyFont="1" applyFill="1" applyBorder="1" applyAlignment="1">
      <alignment horizontal="center" vertical="center"/>
    </xf>
    <xf numFmtId="2" fontId="19" fillId="0" borderId="48" xfId="0" applyNumberFormat="1" applyFont="1" applyFill="1" applyBorder="1" applyAlignment="1">
      <alignment horizontal="center" vertical="center"/>
    </xf>
    <xf numFmtId="2" fontId="23" fillId="0" borderId="48" xfId="0" applyNumberFormat="1" applyFont="1" applyFill="1" applyBorder="1" applyAlignment="1">
      <alignment horizontal="center" vertical="center"/>
    </xf>
    <xf numFmtId="2" fontId="19" fillId="0" borderId="5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8" fillId="0" borderId="54" xfId="0" applyFont="1" applyBorder="1"/>
    <xf numFmtId="0" fontId="20" fillId="0" borderId="54" xfId="0" applyFont="1" applyBorder="1" applyAlignment="1">
      <alignment horizontal="justify"/>
    </xf>
    <xf numFmtId="0" fontId="20" fillId="0" borderId="2" xfId="0" applyFont="1" applyBorder="1" applyAlignment="1">
      <alignment horizontal="justify"/>
    </xf>
    <xf numFmtId="0" fontId="9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10" fontId="9" fillId="0" borderId="7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/>
    </xf>
    <xf numFmtId="0" fontId="24" fillId="0" borderId="0" xfId="10" applyFont="1"/>
    <xf numFmtId="0" fontId="18" fillId="0" borderId="0" xfId="10" applyFont="1"/>
    <xf numFmtId="0" fontId="18" fillId="0" borderId="1" xfId="10" applyFont="1" applyFill="1" applyBorder="1"/>
    <xf numFmtId="0" fontId="24" fillId="0" borderId="1" xfId="10" applyFont="1" applyFill="1" applyBorder="1"/>
    <xf numFmtId="0" fontId="24" fillId="0" borderId="1" xfId="10" applyFont="1" applyFill="1" applyBorder="1" applyAlignment="1">
      <alignment horizontal="center"/>
    </xf>
    <xf numFmtId="0" fontId="18" fillId="0" borderId="1" xfId="10" applyFont="1" applyFill="1" applyBorder="1" applyAlignment="1">
      <alignment horizontal="center" wrapText="1"/>
    </xf>
    <xf numFmtId="0" fontId="18" fillId="0" borderId="0" xfId="10" applyFont="1" applyAlignment="1">
      <alignment horizontal="center"/>
    </xf>
    <xf numFmtId="0" fontId="24" fillId="0" borderId="0" xfId="10" applyFont="1" applyAlignment="1">
      <alignment horizontal="center"/>
    </xf>
    <xf numFmtId="165" fontId="24" fillId="0" borderId="1" xfId="3" applyFont="1" applyFill="1" applyBorder="1" applyAlignment="1">
      <alignment horizontal="center"/>
    </xf>
    <xf numFmtId="43" fontId="24" fillId="0" borderId="0" xfId="10" applyNumberFormat="1" applyFont="1"/>
    <xf numFmtId="165" fontId="18" fillId="9" borderId="1" xfId="3" applyFont="1" applyFill="1" applyBorder="1" applyAlignment="1">
      <alignment horizontal="center"/>
    </xf>
    <xf numFmtId="167" fontId="24" fillId="0" borderId="1" xfId="3" applyNumberFormat="1" applyFont="1" applyFill="1" applyBorder="1" applyAlignment="1">
      <alignment horizontal="center"/>
    </xf>
    <xf numFmtId="167" fontId="18" fillId="0" borderId="1" xfId="3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5" fontId="6" fillId="0" borderId="25" xfId="3" applyFont="1" applyFill="1" applyBorder="1" applyAlignment="1">
      <alignment horizontal="center" vertical="center"/>
    </xf>
    <xf numFmtId="165" fontId="6" fillId="0" borderId="24" xfId="3" applyFont="1" applyFill="1" applyBorder="1" applyAlignment="1">
      <alignment horizontal="left" vertical="center"/>
    </xf>
    <xf numFmtId="165" fontId="5" fillId="0" borderId="34" xfId="3" applyFont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/>
    </xf>
    <xf numFmtId="10" fontId="9" fillId="4" borderId="7" xfId="0" applyNumberFormat="1" applyFont="1" applyFill="1" applyBorder="1" applyAlignment="1">
      <alignment horizontal="center" vertical="center" wrapText="1"/>
    </xf>
    <xf numFmtId="165" fontId="5" fillId="0" borderId="37" xfId="3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centerContinuous" vertical="center"/>
    </xf>
    <xf numFmtId="10" fontId="5" fillId="0" borderId="9" xfId="2" applyNumberFormat="1" applyFont="1" applyBorder="1" applyAlignment="1">
      <alignment vertical="center"/>
    </xf>
    <xf numFmtId="10" fontId="5" fillId="0" borderId="57" xfId="2" applyNumberFormat="1" applyFont="1" applyBorder="1" applyAlignment="1">
      <alignment vertical="center"/>
    </xf>
    <xf numFmtId="164" fontId="5" fillId="9" borderId="33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5" xfId="4" applyFont="1" applyFill="1" applyBorder="1" applyAlignment="1"/>
    <xf numFmtId="165" fontId="5" fillId="0" borderId="17" xfId="3" applyFont="1" applyBorder="1" applyAlignment="1">
      <alignment horizontal="right" vertical="center"/>
    </xf>
    <xf numFmtId="9" fontId="8" fillId="0" borderId="1" xfId="2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165" fontId="8" fillId="0" borderId="1" xfId="3" applyNumberFormat="1" applyFont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165" fontId="8" fillId="0" borderId="21" xfId="3" applyFont="1" applyBorder="1" applyAlignment="1">
      <alignment horizontal="center" vertical="center"/>
    </xf>
    <xf numFmtId="165" fontId="8" fillId="0" borderId="26" xfId="3" applyFont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165" fontId="8" fillId="0" borderId="29" xfId="3" applyFont="1" applyBorder="1" applyAlignment="1">
      <alignment vertical="center"/>
    </xf>
    <xf numFmtId="165" fontId="5" fillId="0" borderId="5" xfId="3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5" fillId="0" borderId="33" xfId="4" applyFont="1" applyBorder="1" applyAlignment="1">
      <alignment horizontal="right"/>
    </xf>
    <xf numFmtId="165" fontId="3" fillId="10" borderId="58" xfId="3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1" fontId="8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165" fontId="8" fillId="10" borderId="2" xfId="3" applyFont="1" applyFill="1" applyBorder="1" applyAlignment="1">
      <alignment horizontal="center" vertical="center"/>
    </xf>
    <xf numFmtId="166" fontId="8" fillId="10" borderId="0" xfId="3" applyNumberFormat="1" applyFont="1" applyFill="1" applyBorder="1" applyAlignment="1">
      <alignment vertical="center"/>
    </xf>
    <xf numFmtId="165" fontId="8" fillId="10" borderId="0" xfId="3" applyFont="1" applyFill="1" applyBorder="1" applyAlignment="1">
      <alignment vertical="center"/>
    </xf>
    <xf numFmtId="165" fontId="8" fillId="10" borderId="1" xfId="3" applyNumberFormat="1" applyFont="1" applyFill="1" applyBorder="1" applyAlignment="1">
      <alignment horizontal="center" vertical="center"/>
    </xf>
    <xf numFmtId="9" fontId="8" fillId="10" borderId="1" xfId="2" applyFont="1" applyFill="1" applyBorder="1" applyAlignment="1">
      <alignment vertical="center"/>
    </xf>
    <xf numFmtId="4" fontId="8" fillId="10" borderId="1" xfId="3" applyNumberFormat="1" applyFont="1" applyFill="1" applyBorder="1" applyAlignment="1">
      <alignment horizontal="center" vertical="center"/>
    </xf>
    <xf numFmtId="4" fontId="8" fillId="10" borderId="1" xfId="0" applyNumberFormat="1" applyFont="1" applyFill="1" applyBorder="1" applyAlignment="1">
      <alignment horizontal="center" vertical="center"/>
    </xf>
    <xf numFmtId="165" fontId="8" fillId="10" borderId="1" xfId="3" applyFont="1" applyFill="1" applyBorder="1" applyAlignment="1">
      <alignment horizontal="center" vertical="center"/>
    </xf>
    <xf numFmtId="3" fontId="8" fillId="10" borderId="1" xfId="0" applyNumberFormat="1" applyFont="1" applyFill="1" applyBorder="1" applyAlignment="1">
      <alignment vertical="center"/>
    </xf>
    <xf numFmtId="4" fontId="8" fillId="10" borderId="2" xfId="0" applyNumberFormat="1" applyFont="1" applyFill="1" applyBorder="1" applyAlignment="1">
      <alignment horizontal="center" vertical="center"/>
    </xf>
    <xf numFmtId="167" fontId="8" fillId="10" borderId="2" xfId="3" applyNumberFormat="1" applyFont="1" applyFill="1" applyBorder="1" applyAlignment="1">
      <alignment horizontal="center" vertical="center"/>
    </xf>
    <xf numFmtId="166" fontId="8" fillId="10" borderId="1" xfId="3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3" fontId="8" fillId="10" borderId="1" xfId="0" applyNumberFormat="1" applyFont="1" applyFill="1" applyBorder="1" applyAlignment="1">
      <alignment horizontal="center" vertical="center"/>
    </xf>
    <xf numFmtId="13" fontId="8" fillId="10" borderId="1" xfId="0" applyNumberFormat="1" applyFont="1" applyFill="1" applyBorder="1" applyAlignment="1">
      <alignment horizontal="center" vertical="center"/>
    </xf>
    <xf numFmtId="165" fontId="3" fillId="10" borderId="1" xfId="3" applyFont="1" applyFill="1" applyBorder="1" applyAlignment="1">
      <alignment horizontal="center" vertical="center"/>
    </xf>
    <xf numFmtId="165" fontId="3" fillId="10" borderId="2" xfId="3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165" fontId="5" fillId="0" borderId="17" xfId="3" applyFont="1" applyBorder="1" applyAlignment="1">
      <alignment horizontal="center" vertical="center"/>
    </xf>
    <xf numFmtId="1" fontId="8" fillId="10" borderId="19" xfId="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3" fillId="10" borderId="1" xfId="0" applyNumberFormat="1" applyFont="1" applyFill="1" applyBorder="1" applyAlignment="1">
      <alignment horizontal="center" vertical="center"/>
    </xf>
    <xf numFmtId="165" fontId="3" fillId="0" borderId="2" xfId="3" applyFont="1" applyFill="1" applyBorder="1" applyAlignment="1">
      <alignment horizontal="center" vertical="center"/>
    </xf>
    <xf numFmtId="165" fontId="3" fillId="0" borderId="2" xfId="3" applyFont="1" applyBorder="1" applyAlignment="1">
      <alignment horizontal="center" vertical="center"/>
    </xf>
    <xf numFmtId="4" fontId="3" fillId="10" borderId="1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8" fillId="0" borderId="0" xfId="3" applyNumberFormat="1" applyFont="1" applyBorder="1" applyAlignment="1">
      <alignment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2" xfId="3" applyNumberFormat="1" applyFont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65" fontId="5" fillId="0" borderId="13" xfId="3" applyFont="1" applyFill="1" applyBorder="1" applyAlignment="1">
      <alignment horizontal="left" vertical="center"/>
    </xf>
    <xf numFmtId="165" fontId="3" fillId="0" borderId="13" xfId="3" applyFont="1" applyFill="1" applyBorder="1" applyAlignment="1">
      <alignment horizontal="left" vertical="center"/>
    </xf>
    <xf numFmtId="165" fontId="3" fillId="10" borderId="1" xfId="3" applyNumberFormat="1" applyFont="1" applyFill="1" applyBorder="1" applyAlignment="1">
      <alignment horizontal="center" vertical="center"/>
    </xf>
    <xf numFmtId="9" fontId="3" fillId="10" borderId="1" xfId="2" applyFont="1" applyFill="1" applyBorder="1" applyAlignment="1">
      <alignment vertical="center"/>
    </xf>
    <xf numFmtId="0" fontId="3" fillId="0" borderId="22" xfId="0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horizontal="center" vertical="center"/>
    </xf>
    <xf numFmtId="168" fontId="5" fillId="11" borderId="3" xfId="0" applyNumberFormat="1" applyFont="1" applyFill="1" applyBorder="1" applyAlignment="1">
      <alignment vertical="center"/>
    </xf>
    <xf numFmtId="10" fontId="5" fillId="11" borderId="56" xfId="2" applyNumberFormat="1" applyFont="1" applyFill="1" applyBorder="1" applyAlignment="1">
      <alignment vertical="center"/>
    </xf>
    <xf numFmtId="10" fontId="5" fillId="11" borderId="14" xfId="2" applyNumberFormat="1" applyFont="1" applyFill="1" applyBorder="1" applyAlignment="1">
      <alignment vertical="center"/>
    </xf>
    <xf numFmtId="165" fontId="15" fillId="11" borderId="17" xfId="3" applyFont="1" applyFill="1" applyBorder="1" applyAlignment="1">
      <alignment horizontal="center" vertical="center"/>
    </xf>
    <xf numFmtId="165" fontId="15" fillId="11" borderId="16" xfId="3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165" fontId="5" fillId="11" borderId="7" xfId="3" applyFont="1" applyFill="1" applyBorder="1" applyAlignment="1">
      <alignment horizontal="center" vertical="center"/>
    </xf>
    <xf numFmtId="165" fontId="5" fillId="11" borderId="4" xfId="3" applyFont="1" applyFill="1" applyBorder="1" applyAlignment="1">
      <alignment vertical="center"/>
    </xf>
    <xf numFmtId="0" fontId="15" fillId="11" borderId="16" xfId="0" applyFont="1" applyFill="1" applyBorder="1" applyAlignment="1">
      <alignment horizontal="center" vertical="center" wrapText="1"/>
    </xf>
    <xf numFmtId="165" fontId="5" fillId="11" borderId="4" xfId="3" applyFont="1" applyFill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165" fontId="15" fillId="11" borderId="32" xfId="3" applyFont="1" applyFill="1" applyBorder="1" applyAlignment="1">
      <alignment horizontal="center" vertical="center"/>
    </xf>
    <xf numFmtId="165" fontId="15" fillId="11" borderId="12" xfId="3" applyFont="1" applyFill="1" applyBorder="1" applyAlignment="1">
      <alignment horizontal="center" vertical="center"/>
    </xf>
    <xf numFmtId="165" fontId="5" fillId="11" borderId="4" xfId="3" applyNumberFormat="1" applyFont="1" applyFill="1" applyBorder="1" applyAlignment="1">
      <alignment horizontal="center" vertical="center"/>
    </xf>
    <xf numFmtId="165" fontId="5" fillId="9" borderId="4" xfId="3" applyFont="1" applyFill="1" applyBorder="1" applyAlignment="1">
      <alignment vertical="center"/>
    </xf>
    <xf numFmtId="0" fontId="32" fillId="10" borderId="7" xfId="4" applyFont="1" applyFill="1" applyBorder="1" applyAlignment="1">
      <alignment vertical="center"/>
    </xf>
    <xf numFmtId="3" fontId="3" fillId="10" borderId="1" xfId="0" applyNumberFormat="1" applyFont="1" applyFill="1" applyBorder="1" applyAlignment="1">
      <alignment vertical="center"/>
    </xf>
    <xf numFmtId="10" fontId="5" fillId="10" borderId="7" xfId="2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24" fillId="10" borderId="1" xfId="3" applyFont="1" applyFill="1" applyBorder="1" applyAlignment="1">
      <alignment horizontal="center"/>
    </xf>
    <xf numFmtId="0" fontId="24" fillId="10" borderId="1" xfId="10" applyFont="1" applyFill="1" applyBorder="1" applyAlignment="1">
      <alignment horizontal="center"/>
    </xf>
    <xf numFmtId="9" fontId="24" fillId="10" borderId="1" xfId="2" applyFont="1" applyFill="1" applyBorder="1" applyAlignment="1">
      <alignment horizontal="center"/>
    </xf>
    <xf numFmtId="165" fontId="8" fillId="0" borderId="2" xfId="3" applyNumberFormat="1" applyFont="1" applyFill="1" applyBorder="1" applyAlignment="1">
      <alignment horizontal="center" vertical="center"/>
    </xf>
    <xf numFmtId="167" fontId="3" fillId="10" borderId="2" xfId="3" applyNumberFormat="1" applyFont="1" applyFill="1" applyBorder="1" applyAlignment="1">
      <alignment horizontal="center" vertical="center"/>
    </xf>
    <xf numFmtId="165" fontId="3" fillId="0" borderId="0" xfId="3" applyFont="1" applyAlignment="1">
      <alignment vertical="center"/>
    </xf>
    <xf numFmtId="166" fontId="8" fillId="0" borderId="1" xfId="3" applyNumberFormat="1" applyFont="1" applyFill="1" applyBorder="1" applyAlignment="1">
      <alignment horizontal="center" vertical="center"/>
    </xf>
    <xf numFmtId="10" fontId="7" fillId="10" borderId="11" xfId="0" applyNumberFormat="1" applyFont="1" applyFill="1" applyBorder="1" applyAlignment="1">
      <alignment horizontal="center" vertical="center"/>
    </xf>
    <xf numFmtId="10" fontId="7" fillId="10" borderId="19" xfId="0" applyNumberFormat="1" applyFont="1" applyFill="1" applyBorder="1" applyAlignment="1">
      <alignment horizontal="center" vertical="center"/>
    </xf>
    <xf numFmtId="10" fontId="7" fillId="10" borderId="36" xfId="0" applyNumberFormat="1" applyFont="1" applyFill="1" applyBorder="1" applyAlignment="1">
      <alignment horizontal="center" vertical="center"/>
    </xf>
    <xf numFmtId="165" fontId="8" fillId="0" borderId="38" xfId="3" applyFont="1" applyFill="1" applyBorder="1" applyAlignment="1">
      <alignment vertical="center"/>
    </xf>
    <xf numFmtId="0" fontId="34" fillId="0" borderId="37" xfId="0" applyFont="1" applyFill="1" applyBorder="1" applyAlignment="1">
      <alignment vertical="center"/>
    </xf>
    <xf numFmtId="10" fontId="5" fillId="0" borderId="17" xfId="2" applyNumberFormat="1" applyFont="1" applyBorder="1" applyAlignment="1">
      <alignment vertical="center"/>
    </xf>
    <xf numFmtId="165" fontId="8" fillId="0" borderId="59" xfId="3" applyFont="1" applyBorder="1" applyAlignment="1">
      <alignment vertical="center"/>
    </xf>
    <xf numFmtId="165" fontId="8" fillId="0" borderId="60" xfId="3" applyFont="1" applyBorder="1" applyAlignment="1">
      <alignment vertical="center"/>
    </xf>
    <xf numFmtId="1" fontId="8" fillId="10" borderId="36" xfId="3" applyNumberFormat="1" applyFont="1" applyFill="1" applyBorder="1" applyAlignment="1">
      <alignment horizontal="center" vertical="center"/>
    </xf>
    <xf numFmtId="170" fontId="8" fillId="0" borderId="1" xfId="3" applyNumberFormat="1" applyFont="1" applyBorder="1" applyAlignment="1">
      <alignment vertical="center"/>
    </xf>
    <xf numFmtId="170" fontId="8" fillId="0" borderId="1" xfId="3" applyNumberFormat="1" applyFont="1" applyFill="1" applyBorder="1" applyAlignment="1">
      <alignment vertical="center"/>
    </xf>
    <xf numFmtId="0" fontId="8" fillId="0" borderId="4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30" fillId="0" borderId="5" xfId="4" applyFont="1" applyBorder="1" applyAlignment="1">
      <alignment horizontal="center" vertical="center" wrapText="1"/>
    </xf>
    <xf numFmtId="0" fontId="30" fillId="0" borderId="6" xfId="4" applyFont="1" applyBorder="1" applyAlignment="1">
      <alignment horizontal="center" vertical="center" wrapText="1"/>
    </xf>
    <xf numFmtId="0" fontId="30" fillId="0" borderId="7" xfId="4" applyFont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5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165" fontId="6" fillId="11" borderId="5" xfId="3" applyFont="1" applyFill="1" applyBorder="1" applyAlignment="1">
      <alignment horizontal="center" vertical="center"/>
    </xf>
    <xf numFmtId="165" fontId="6" fillId="11" borderId="6" xfId="3" applyFont="1" applyFill="1" applyBorder="1" applyAlignment="1">
      <alignment horizontal="center" vertical="center"/>
    </xf>
    <xf numFmtId="165" fontId="6" fillId="11" borderId="7" xfId="3" applyFont="1" applyFill="1" applyBorder="1" applyAlignment="1">
      <alignment horizontal="center" vertical="center"/>
    </xf>
    <xf numFmtId="165" fontId="5" fillId="0" borderId="5" xfId="3" applyFont="1" applyFill="1" applyBorder="1" applyAlignment="1">
      <alignment horizontal="center" vertical="center" wrapText="1"/>
    </xf>
    <xf numFmtId="165" fontId="5" fillId="0" borderId="7" xfId="3" applyFont="1" applyFill="1" applyBorder="1" applyAlignment="1">
      <alignment horizontal="center" vertical="center" wrapText="1"/>
    </xf>
    <xf numFmtId="0" fontId="32" fillId="10" borderId="6" xfId="4" applyFont="1" applyFill="1" applyBorder="1" applyAlignment="1">
      <alignment horizontal="left" vertical="center"/>
    </xf>
    <xf numFmtId="0" fontId="32" fillId="10" borderId="39" xfId="4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8" fillId="0" borderId="55" xfId="3" applyFont="1" applyBorder="1" applyAlignment="1">
      <alignment horizontal="right" vertical="center"/>
    </xf>
    <xf numFmtId="165" fontId="8" fillId="0" borderId="56" xfId="3" applyFont="1" applyBorder="1" applyAlignment="1">
      <alignment horizontal="right" vertical="center"/>
    </xf>
    <xf numFmtId="165" fontId="5" fillId="0" borderId="5" xfId="3" applyFont="1" applyFill="1" applyBorder="1" applyAlignment="1">
      <alignment horizontal="left" vertical="center"/>
    </xf>
    <xf numFmtId="165" fontId="5" fillId="0" borderId="6" xfId="3" applyFont="1" applyFill="1" applyBorder="1" applyAlignment="1">
      <alignment horizontal="left" vertical="center"/>
    </xf>
    <xf numFmtId="165" fontId="5" fillId="0" borderId="7" xfId="3" applyFont="1" applyFill="1" applyBorder="1" applyAlignment="1">
      <alignment horizontal="left" vertical="center"/>
    </xf>
    <xf numFmtId="0" fontId="0" fillId="0" borderId="56" xfId="0" applyBorder="1" applyAlignment="1">
      <alignment horizontal="right" vertical="center"/>
    </xf>
    <xf numFmtId="165" fontId="5" fillId="0" borderId="5" xfId="3" applyFont="1" applyBorder="1" applyAlignment="1">
      <alignment horizontal="left" vertical="center"/>
    </xf>
    <xf numFmtId="165" fontId="5" fillId="0" borderId="6" xfId="3" applyFont="1" applyBorder="1" applyAlignment="1">
      <alignment horizontal="left" vertical="center"/>
    </xf>
    <xf numFmtId="165" fontId="5" fillId="0" borderId="7" xfId="3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/>
    </xf>
    <xf numFmtId="0" fontId="17" fillId="8" borderId="40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4" fontId="29" fillId="0" borderId="5" xfId="0" applyNumberFormat="1" applyFont="1" applyBorder="1" applyAlignment="1">
      <alignment horizontal="center" vertical="center"/>
    </xf>
    <xf numFmtId="4" fontId="29" fillId="0" borderId="6" xfId="0" applyNumberFormat="1" applyFont="1" applyBorder="1" applyAlignment="1">
      <alignment horizontal="center" vertical="center"/>
    </xf>
    <xf numFmtId="4" fontId="29" fillId="0" borderId="7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1">
    <cellStyle name="Hyperlink" xfId="1" builtinId="8"/>
    <cellStyle name="Normal" xfId="0" builtinId="0"/>
    <cellStyle name="Normal 2" xfId="7"/>
    <cellStyle name="Normal 3" xfId="4"/>
    <cellStyle name="Normal 4" xfId="10"/>
    <cellStyle name="Porcentagem" xfId="2" builtinId="5"/>
    <cellStyle name="Porcentagem 2" xfId="8"/>
    <cellStyle name="Porcentagem 3" xfId="9"/>
    <cellStyle name="Separador de milhares" xfId="3" builtinId="3"/>
    <cellStyle name="Separador de milhares 3" xfId="5"/>
    <cellStyle name="Vírgula 2" xfId="6"/>
  </cellStyles>
  <dxfs count="0"/>
  <tableStyles count="0" defaultTableStyle="TableStyleMedium2" defaultPivotStyle="PivotStyleLight16"/>
  <colors>
    <mruColors>
      <color rgb="FFFFFF99"/>
      <color rgb="FF00FF00"/>
      <color rgb="FF66FFFF"/>
      <color rgb="FFC0C0C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</xdr:row>
      <xdr:rowOff>9525</xdr:rowOff>
    </xdr:from>
    <xdr:to>
      <xdr:col>0</xdr:col>
      <xdr:colOff>2990850</xdr:colOff>
      <xdr:row>1</xdr:row>
      <xdr:rowOff>276225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71550" y="304800"/>
          <a:ext cx="2019300" cy="2667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xmlns="" id="{00000000-0008-0000-07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xmlns="" id="{00000000-0008-0000-07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8"/>
  <sheetViews>
    <sheetView tabSelected="1" zoomScale="110" zoomScaleNormal="110" zoomScaleSheetLayoutView="100" workbookViewId="0">
      <selection activeCell="A5" sqref="A5:F5"/>
    </sheetView>
  </sheetViews>
  <sheetFormatPr defaultRowHeight="12.75"/>
  <cols>
    <col min="1" max="1" width="45" style="6" customWidth="1"/>
    <col min="2" max="2" width="15.5703125" style="6" customWidth="1"/>
    <col min="3" max="3" width="14" style="6" bestFit="1" customWidth="1"/>
    <col min="4" max="4" width="13.5703125" style="7" bestFit="1" customWidth="1"/>
    <col min="5" max="5" width="14.140625" style="7" bestFit="1" customWidth="1"/>
    <col min="6" max="6" width="11.5703125" style="7" bestFit="1" customWidth="1"/>
    <col min="7" max="16384" width="9.140625" style="6"/>
  </cols>
  <sheetData>
    <row r="1" spans="1:6" s="182" customFormat="1" ht="23.25" customHeight="1" thickBot="1">
      <c r="A1" s="400" t="s">
        <v>222</v>
      </c>
      <c r="B1" s="401"/>
      <c r="C1" s="401"/>
      <c r="D1" s="401"/>
      <c r="E1" s="401"/>
      <c r="F1" s="402"/>
    </row>
    <row r="2" spans="1:6" s="182" customFormat="1" ht="23.25" customHeight="1" thickBot="1">
      <c r="A2" s="292" t="s">
        <v>219</v>
      </c>
      <c r="B2" s="194" t="s">
        <v>220</v>
      </c>
      <c r="C2" s="411"/>
      <c r="D2" s="412"/>
      <c r="E2" s="308" t="s">
        <v>221</v>
      </c>
      <c r="F2" s="376"/>
    </row>
    <row r="3" spans="1:6" s="5" customFormat="1" ht="18">
      <c r="A3" s="403" t="s">
        <v>223</v>
      </c>
      <c r="B3" s="404"/>
      <c r="C3" s="404"/>
      <c r="D3" s="404"/>
      <c r="E3" s="404"/>
      <c r="F3" s="405"/>
    </row>
    <row r="4" spans="1:6" s="2" customFormat="1" ht="10.9" customHeight="1" thickBot="1">
      <c r="A4" s="77"/>
      <c r="B4" s="78"/>
      <c r="C4" s="78"/>
      <c r="D4" s="79"/>
      <c r="E4" s="79"/>
      <c r="F4" s="80"/>
    </row>
    <row r="5" spans="1:6" s="2" customFormat="1" ht="15.75" customHeight="1" thickBot="1">
      <c r="A5" s="406" t="s">
        <v>163</v>
      </c>
      <c r="B5" s="407"/>
      <c r="C5" s="407"/>
      <c r="D5" s="407"/>
      <c r="E5" s="407"/>
      <c r="F5" s="408"/>
    </row>
    <row r="6" spans="1:6" s="2" customFormat="1" ht="15.75" customHeight="1" thickBot="1">
      <c r="A6" s="279" t="s">
        <v>311</v>
      </c>
      <c r="B6" s="278"/>
      <c r="C6" s="409" t="s">
        <v>309</v>
      </c>
      <c r="D6" s="410"/>
      <c r="E6" s="409" t="s">
        <v>310</v>
      </c>
      <c r="F6" s="410"/>
    </row>
    <row r="7" spans="1:6" s="2" customFormat="1" ht="25.5">
      <c r="A7" s="41" t="s">
        <v>162</v>
      </c>
      <c r="B7" s="25"/>
      <c r="C7" s="280" t="s">
        <v>312</v>
      </c>
      <c r="D7" s="26" t="s">
        <v>313</v>
      </c>
      <c r="E7" s="280" t="s">
        <v>312</v>
      </c>
      <c r="F7" s="26" t="s">
        <v>313</v>
      </c>
    </row>
    <row r="8" spans="1:6" s="8" customFormat="1" ht="15.75" customHeight="1">
      <c r="A8" s="61" t="str">
        <f>A58</f>
        <v>1. Mão-de-obra</v>
      </c>
      <c r="B8" s="62"/>
      <c r="C8" s="148">
        <f>+F156</f>
        <v>3343.8920659402638</v>
      </c>
      <c r="D8" s="64">
        <f t="shared" ref="D8:D39" si="0">IFERROR(C8/$C$41,0)</f>
        <v>8.5681686599736587E-2</v>
      </c>
      <c r="E8" s="148">
        <f t="shared" ref="E8:E38" si="1">C8</f>
        <v>3343.8920659402638</v>
      </c>
      <c r="F8" s="64">
        <f t="shared" ref="F8:F38" si="2">IFERROR(E8/$E$41,0)</f>
        <v>9.1088212777497748E-2</v>
      </c>
    </row>
    <row r="9" spans="1:6" s="2" customFormat="1" ht="15.75" customHeight="1">
      <c r="A9" s="32" t="str">
        <f>A59</f>
        <v>1.1. Motorista caminhão Coletor</v>
      </c>
      <c r="B9" s="29"/>
      <c r="C9" s="149">
        <f>F78</f>
        <v>2337.4351903947081</v>
      </c>
      <c r="D9" s="39">
        <f t="shared" si="0"/>
        <v>5.989289889782369E-2</v>
      </c>
      <c r="E9" s="149">
        <f t="shared" si="1"/>
        <v>2337.4351903947081</v>
      </c>
      <c r="F9" s="39">
        <f t="shared" si="2"/>
        <v>6.3672149034037534E-2</v>
      </c>
    </row>
    <row r="10" spans="1:6" s="2" customFormat="1" ht="15.75" customHeight="1">
      <c r="A10" s="189" t="str">
        <f>A80</f>
        <v>1.2. Motorista Veículo Higienizador</v>
      </c>
      <c r="B10" s="29"/>
      <c r="C10" s="149">
        <f>F99</f>
        <v>389.41670271975835</v>
      </c>
      <c r="D10" s="39">
        <f t="shared" si="0"/>
        <v>9.9781569563774253E-3</v>
      </c>
      <c r="E10" s="149">
        <f t="shared" ref="E10" si="3">C10</f>
        <v>389.41670271975835</v>
      </c>
      <c r="F10" s="39">
        <f t="shared" si="2"/>
        <v>1.0607780029070651E-2</v>
      </c>
    </row>
    <row r="11" spans="1:6" s="2" customFormat="1" ht="15.75" customHeight="1">
      <c r="A11" s="32" t="str">
        <f>A101</f>
        <v xml:space="preserve">1.3. Auxiliar </v>
      </c>
      <c r="B11" s="29"/>
      <c r="C11" s="149">
        <f>F120</f>
        <v>320.20636752579719</v>
      </c>
      <c r="D11" s="39">
        <f t="shared" si="0"/>
        <v>8.204756938490116E-3</v>
      </c>
      <c r="E11" s="149">
        <f t="shared" si="1"/>
        <v>320.20636752579719</v>
      </c>
      <c r="F11" s="39">
        <f t="shared" si="2"/>
        <v>8.7224782267899034E-3</v>
      </c>
    </row>
    <row r="12" spans="1:6" s="2" customFormat="1" ht="15.75" customHeight="1">
      <c r="A12" s="32" t="str">
        <f>A122</f>
        <v>1.4. Vale Transporte</v>
      </c>
      <c r="B12" s="29"/>
      <c r="C12" s="149">
        <f>F129</f>
        <v>73.531043100000005</v>
      </c>
      <c r="D12" s="39">
        <f t="shared" si="0"/>
        <v>1.8841109898307567E-3</v>
      </c>
      <c r="E12" s="149">
        <f t="shared" si="1"/>
        <v>73.531043100000005</v>
      </c>
      <c r="F12" s="39">
        <f t="shared" si="2"/>
        <v>2.0029986517405163E-3</v>
      </c>
    </row>
    <row r="13" spans="1:6" s="2" customFormat="1" ht="15.75" customHeight="1">
      <c r="A13" s="32" t="str">
        <f>A131</f>
        <v>1.5. Vale-refeição (diário)</v>
      </c>
      <c r="B13" s="29"/>
      <c r="C13" s="149">
        <f>F139</f>
        <v>170.45889499999998</v>
      </c>
      <c r="D13" s="39">
        <f t="shared" si="0"/>
        <v>4.367726389344624E-3</v>
      </c>
      <c r="E13" s="149">
        <f t="shared" si="1"/>
        <v>170.45889499999998</v>
      </c>
      <c r="F13" s="39">
        <f t="shared" si="2"/>
        <v>4.6433305236516925E-3</v>
      </c>
    </row>
    <row r="14" spans="1:6" s="2" customFormat="1" ht="15.75" customHeight="1">
      <c r="A14" s="32" t="str">
        <f>A141</f>
        <v>1.6. Auxílio Alimentação (mensal)</v>
      </c>
      <c r="B14" s="29"/>
      <c r="C14" s="149">
        <f>F147</f>
        <v>42.431575199999997</v>
      </c>
      <c r="D14" s="39">
        <f t="shared" si="0"/>
        <v>1.0872387195898514E-3</v>
      </c>
      <c r="E14" s="149">
        <f t="shared" si="1"/>
        <v>42.431575199999997</v>
      </c>
      <c r="F14" s="39">
        <f t="shared" si="2"/>
        <v>1.1558436319370846E-3</v>
      </c>
    </row>
    <row r="15" spans="1:6" s="2" customFormat="1" ht="15.75" customHeight="1">
      <c r="A15" s="32" t="str">
        <f>A149</f>
        <v>1.7. Plano de Benefício Social Familiar (mensal)</v>
      </c>
      <c r="B15" s="29"/>
      <c r="C15" s="149">
        <f>F154</f>
        <v>10.412291999999999</v>
      </c>
      <c r="D15" s="39">
        <f t="shared" si="0"/>
        <v>2.6679770828012182E-4</v>
      </c>
      <c r="E15" s="149">
        <f t="shared" si="1"/>
        <v>10.412291999999999</v>
      </c>
      <c r="F15" s="39">
        <f t="shared" si="2"/>
        <v>2.8363268027036269E-4</v>
      </c>
    </row>
    <row r="16" spans="1:6" s="8" customFormat="1" ht="15.75" customHeight="1">
      <c r="A16" s="61" t="str">
        <f>A158</f>
        <v>2. Uniformes e Equipamentos de Proteção Individual</v>
      </c>
      <c r="B16" s="63"/>
      <c r="C16" s="148">
        <f>+F188</f>
        <v>604.12095741666656</v>
      </c>
      <c r="D16" s="64">
        <f t="shared" si="0"/>
        <v>1.5479597283937073E-2</v>
      </c>
      <c r="E16" s="148">
        <f t="shared" si="1"/>
        <v>604.12095741666656</v>
      </c>
      <c r="F16" s="64">
        <f t="shared" si="2"/>
        <v>1.645636199595505E-2</v>
      </c>
    </row>
    <row r="17" spans="1:6" s="8" customFormat="1" ht="15.75" customHeight="1">
      <c r="A17" s="190" t="str">
        <f>A190</f>
        <v>3. Veículos e Equipamentos</v>
      </c>
      <c r="B17" s="68"/>
      <c r="C17" s="148">
        <f>+F372</f>
        <v>25529.222365835885</v>
      </c>
      <c r="D17" s="64">
        <f t="shared" si="0"/>
        <v>0.65414396958696941</v>
      </c>
      <c r="E17" s="148">
        <f t="shared" si="1"/>
        <v>25529.222365835885</v>
      </c>
      <c r="F17" s="64">
        <f t="shared" si="2"/>
        <v>0.69542054379959017</v>
      </c>
    </row>
    <row r="18" spans="1:6" s="2" customFormat="1" ht="15.75" customHeight="1">
      <c r="A18" s="190" t="str">
        <f>A191</f>
        <v>3.1. Veículo Coletor Truck c/Compactador de 19 m³</v>
      </c>
      <c r="B18" s="30"/>
      <c r="C18" s="148">
        <f>SUM(C19:C24)</f>
        <v>10508.28033668231</v>
      </c>
      <c r="D18" s="64">
        <f t="shared" si="0"/>
        <v>0.26925725016085866</v>
      </c>
      <c r="E18" s="148">
        <f t="shared" si="1"/>
        <v>10508.28033668231</v>
      </c>
      <c r="F18" s="64">
        <f t="shared" si="2"/>
        <v>0.28624741958115979</v>
      </c>
    </row>
    <row r="19" spans="1:6" s="2" customFormat="1" ht="15.75" customHeight="1">
      <c r="A19" s="42" t="str">
        <f>A192</f>
        <v>3.1.1. Depreciação</v>
      </c>
      <c r="B19" s="30"/>
      <c r="C19" s="149">
        <f>F206</f>
        <v>3133.5416666666665</v>
      </c>
      <c r="D19" s="72">
        <f t="shared" si="0"/>
        <v>8.0291806594258025E-2</v>
      </c>
      <c r="E19" s="149">
        <f t="shared" si="1"/>
        <v>3133.5416666666665</v>
      </c>
      <c r="F19" s="72">
        <f t="shared" si="2"/>
        <v>8.5358230604320948E-2</v>
      </c>
    </row>
    <row r="20" spans="1:6" s="2" customFormat="1" ht="15.75" customHeight="1">
      <c r="A20" s="42" t="str">
        <f>A207</f>
        <v>3.1.2. Remuneração do Capital</v>
      </c>
      <c r="B20" s="30"/>
      <c r="C20" s="149">
        <f>F221</f>
        <v>1449.5643229166667</v>
      </c>
      <c r="D20" s="72">
        <f t="shared" si="0"/>
        <v>3.7142680915863022E-2</v>
      </c>
      <c r="E20" s="149">
        <f t="shared" si="1"/>
        <v>1449.5643229166667</v>
      </c>
      <c r="F20" s="72">
        <f t="shared" si="2"/>
        <v>3.9486389176671931E-2</v>
      </c>
    </row>
    <row r="21" spans="1:6" s="2" customFormat="1" ht="15.75" customHeight="1">
      <c r="A21" s="42" t="str">
        <f>A223</f>
        <v>3.1.3. Impostos e Seguros</v>
      </c>
      <c r="B21" s="30"/>
      <c r="C21" s="149">
        <f>F229</f>
        <v>204.02916666666667</v>
      </c>
      <c r="D21" s="72">
        <f t="shared" si="0"/>
        <v>5.2279089069889413E-3</v>
      </c>
      <c r="E21" s="149">
        <f t="shared" si="1"/>
        <v>204.02916666666667</v>
      </c>
      <c r="F21" s="72">
        <f t="shared" si="2"/>
        <v>5.5577906761542237E-3</v>
      </c>
    </row>
    <row r="22" spans="1:6" s="2" customFormat="1" ht="15.75" customHeight="1">
      <c r="A22" s="42" t="str">
        <f>A231</f>
        <v>3.1.4. Consumos</v>
      </c>
      <c r="B22" s="30"/>
      <c r="C22" s="149">
        <f>F247</f>
        <v>3040.1655004323093</v>
      </c>
      <c r="D22" s="72">
        <f t="shared" si="0"/>
        <v>7.789919724760215E-2</v>
      </c>
      <c r="E22" s="149">
        <f t="shared" si="1"/>
        <v>3040.1655004323093</v>
      </c>
      <c r="F22" s="72">
        <f t="shared" si="2"/>
        <v>8.2814647279686779E-2</v>
      </c>
    </row>
    <row r="23" spans="1:6" s="2" customFormat="1" ht="15.75" customHeight="1">
      <c r="A23" s="42" t="str">
        <f>A249</f>
        <v>3.1.5. Manutenção</v>
      </c>
      <c r="B23" s="30"/>
      <c r="C23" s="149">
        <f>F254</f>
        <v>2014</v>
      </c>
      <c r="D23" s="72">
        <f t="shared" si="0"/>
        <v>5.1605408730005402E-2</v>
      </c>
      <c r="E23" s="149">
        <f t="shared" si="1"/>
        <v>2014</v>
      </c>
      <c r="F23" s="72">
        <f t="shared" si="2"/>
        <v>5.4861717099799978E-2</v>
      </c>
    </row>
    <row r="24" spans="1:6" s="2" customFormat="1" ht="15.75" customHeight="1">
      <c r="A24" s="42" t="str">
        <f>A256</f>
        <v>3.1.6. Pneus</v>
      </c>
      <c r="B24" s="30"/>
      <c r="C24" s="149">
        <f>F263</f>
        <v>666.97968000000003</v>
      </c>
      <c r="D24" s="72">
        <f t="shared" si="0"/>
        <v>1.7090247766141119E-2</v>
      </c>
      <c r="E24" s="149">
        <f t="shared" si="1"/>
        <v>666.97968000000003</v>
      </c>
      <c r="F24" s="72">
        <f t="shared" si="2"/>
        <v>1.816864474452588E-2</v>
      </c>
    </row>
    <row r="25" spans="1:6" s="2" customFormat="1" ht="15.75" customHeight="1">
      <c r="A25" s="353" t="str">
        <f>A265</f>
        <v>3.2. Veículo 4x2 c/dispositivo lavagem e higienização</v>
      </c>
      <c r="B25" s="30"/>
      <c r="C25" s="148">
        <f>SUM(C26:C31)</f>
        <v>2111.9020291535767</v>
      </c>
      <c r="D25" s="64">
        <f t="shared" si="0"/>
        <v>5.4113985805460826E-2</v>
      </c>
      <c r="E25" s="148">
        <f t="shared" si="1"/>
        <v>2111.9020291535767</v>
      </c>
      <c r="F25" s="64">
        <f t="shared" si="2"/>
        <v>5.7528585732828728E-2</v>
      </c>
    </row>
    <row r="26" spans="1:6" s="2" customFormat="1" ht="15.75" customHeight="1">
      <c r="A26" s="354" t="str">
        <f>A266</f>
        <v>3.2.1. Depreciação</v>
      </c>
      <c r="B26" s="30"/>
      <c r="C26" s="149">
        <f>F280</f>
        <v>727.7151169166666</v>
      </c>
      <c r="D26" s="72">
        <f t="shared" si="0"/>
        <v>1.8646492575714126E-2</v>
      </c>
      <c r="E26" s="149">
        <f t="shared" si="1"/>
        <v>727.7151169166666</v>
      </c>
      <c r="F26" s="72">
        <f t="shared" si="2"/>
        <v>1.9823088815059599E-2</v>
      </c>
    </row>
    <row r="27" spans="1:6" s="2" customFormat="1" ht="15.75" customHeight="1">
      <c r="A27" s="354" t="str">
        <f>A282</f>
        <v>3.2.2. Remuneração do Capital</v>
      </c>
      <c r="B27" s="30"/>
      <c r="C27" s="149">
        <f>F296</f>
        <v>336.63821418135416</v>
      </c>
      <c r="D27" s="72">
        <f t="shared" si="0"/>
        <v>8.6257957482462171E-3</v>
      </c>
      <c r="E27" s="149">
        <f t="shared" si="1"/>
        <v>336.63821418135416</v>
      </c>
      <c r="F27" s="72">
        <f t="shared" si="2"/>
        <v>9.1700846431972821E-3</v>
      </c>
    </row>
    <row r="28" spans="1:6" s="2" customFormat="1" ht="15.75" customHeight="1">
      <c r="A28" s="354" t="str">
        <f>A298</f>
        <v>3.2.3. Impostos e Seguros</v>
      </c>
      <c r="B28" s="30"/>
      <c r="C28" s="149">
        <f>F304</f>
        <v>32.228075833333335</v>
      </c>
      <c r="D28" s="72">
        <f t="shared" si="0"/>
        <v>8.257909761473566E-4</v>
      </c>
      <c r="E28" s="149">
        <f t="shared" si="1"/>
        <v>32.228075833333335</v>
      </c>
      <c r="F28" s="72">
        <f t="shared" si="2"/>
        <v>8.7789850001948058E-4</v>
      </c>
    </row>
    <row r="29" spans="1:6" s="2" customFormat="1" ht="15.75" customHeight="1">
      <c r="A29" s="354" t="str">
        <f>A306</f>
        <v>3.2.4. Consumos</v>
      </c>
      <c r="B29" s="30"/>
      <c r="C29" s="149">
        <f>F322</f>
        <v>648.35822222222225</v>
      </c>
      <c r="D29" s="72">
        <f t="shared" si="0"/>
        <v>1.6613103803990791E-2</v>
      </c>
      <c r="E29" s="149">
        <f t="shared" si="1"/>
        <v>648.35822222222225</v>
      </c>
      <c r="F29" s="72">
        <f t="shared" si="2"/>
        <v>1.766139293291202E-2</v>
      </c>
    </row>
    <row r="30" spans="1:6" s="2" customFormat="1" ht="15.75" customHeight="1">
      <c r="A30" s="354" t="str">
        <f>A324</f>
        <v>3.2.5. Manutenção</v>
      </c>
      <c r="B30" s="30"/>
      <c r="C30" s="149">
        <f>F327</f>
        <v>319.99200000000002</v>
      </c>
      <c r="D30" s="72">
        <f t="shared" si="0"/>
        <v>8.1992641262819705E-3</v>
      </c>
      <c r="E30" s="149">
        <f t="shared" si="1"/>
        <v>319.99200000000002</v>
      </c>
      <c r="F30" s="72">
        <f t="shared" si="2"/>
        <v>8.7166388173779523E-3</v>
      </c>
    </row>
    <row r="31" spans="1:6" s="2" customFormat="1" ht="15.75" customHeight="1">
      <c r="A31" s="354" t="str">
        <f>A329</f>
        <v>3.2.6. Pneus</v>
      </c>
      <c r="B31" s="30"/>
      <c r="C31" s="149">
        <f>F335</f>
        <v>46.970399999999998</v>
      </c>
      <c r="D31" s="72">
        <f t="shared" si="0"/>
        <v>1.2035385750803604E-3</v>
      </c>
      <c r="E31" s="149">
        <f t="shared" si="1"/>
        <v>46.970399999999998</v>
      </c>
      <c r="F31" s="72">
        <f t="shared" si="2"/>
        <v>1.2794820242623857E-3</v>
      </c>
    </row>
    <row r="32" spans="1:6" s="2" customFormat="1" ht="15.75" customHeight="1">
      <c r="A32" s="190" t="str">
        <f>A338</f>
        <v>3.3. Contêineres 2,40 m³, com carga lateral</v>
      </c>
      <c r="B32" s="30"/>
      <c r="C32" s="148">
        <f>SUM(C33:C35)</f>
        <v>11709.039999999999</v>
      </c>
      <c r="D32" s="64">
        <f t="shared" si="0"/>
        <v>0.30002472444686318</v>
      </c>
      <c r="E32" s="148">
        <f t="shared" si="1"/>
        <v>11709.039999999999</v>
      </c>
      <c r="F32" s="64">
        <f t="shared" si="2"/>
        <v>0.31895632571511517</v>
      </c>
    </row>
    <row r="33" spans="1:6" s="2" customFormat="1" ht="15.75" customHeight="1">
      <c r="A33" s="42" t="str">
        <f>A339</f>
        <v>3.3.1. Depreciação contêineres</v>
      </c>
      <c r="B33" s="30"/>
      <c r="C33" s="149">
        <f>F348</f>
        <v>6042.6666666666661</v>
      </c>
      <c r="D33" s="72">
        <f t="shared" si="0"/>
        <v>0.15483330841733497</v>
      </c>
      <c r="E33" s="149">
        <f t="shared" si="1"/>
        <v>6042.6666666666661</v>
      </c>
      <c r="F33" s="72">
        <f t="shared" si="2"/>
        <v>0.16460331141760576</v>
      </c>
    </row>
    <row r="34" spans="1:6" s="2" customFormat="1" ht="15.75" customHeight="1">
      <c r="A34" s="42" t="str">
        <f>A350</f>
        <v>3.3.2. Remuneração do Capital contêineres</v>
      </c>
      <c r="B34" s="30"/>
      <c r="C34" s="149">
        <f>F359</f>
        <v>1821.04</v>
      </c>
      <c r="D34" s="72">
        <f t="shared" si="0"/>
        <v>4.6661128854860498E-2</v>
      </c>
      <c r="E34" s="149">
        <f t="shared" si="1"/>
        <v>1821.04</v>
      </c>
      <c r="F34" s="72">
        <f t="shared" si="2"/>
        <v>4.960545248630574E-2</v>
      </c>
    </row>
    <row r="35" spans="1:6" s="2" customFormat="1" ht="15.75" customHeight="1">
      <c r="A35" s="42" t="str">
        <f>A361</f>
        <v>3.3.3. Manutenção e reposição contêineres 2,40 m³</v>
      </c>
      <c r="B35" s="30"/>
      <c r="C35" s="149">
        <f>F364</f>
        <v>3845.3333333333335</v>
      </c>
      <c r="D35" s="72">
        <f t="shared" si="0"/>
        <v>9.8530287174667719E-2</v>
      </c>
      <c r="E35" s="149">
        <f t="shared" si="1"/>
        <v>3845.3333333333335</v>
      </c>
      <c r="F35" s="72">
        <f t="shared" si="2"/>
        <v>0.10474756181120368</v>
      </c>
    </row>
    <row r="36" spans="1:6" s="2" customFormat="1" ht="15.75" customHeight="1">
      <c r="A36" s="190" t="str">
        <f>A366</f>
        <v>3.4 Locação de Caminhão Munck (toco) c/operador</v>
      </c>
      <c r="B36" s="30"/>
      <c r="C36" s="148">
        <f>F370</f>
        <v>1200</v>
      </c>
      <c r="D36" s="64">
        <f t="shared" si="0"/>
        <v>3.0748009173786735E-2</v>
      </c>
      <c r="E36" s="148">
        <f t="shared" si="1"/>
        <v>1200</v>
      </c>
      <c r="F36" s="64">
        <f t="shared" si="2"/>
        <v>3.2688212770486585E-2</v>
      </c>
    </row>
    <row r="37" spans="1:6" s="8" customFormat="1" ht="15.75" customHeight="1">
      <c r="A37" s="190" t="str">
        <f>A374</f>
        <v>4. Ferramentas e Materiais de Consumo</v>
      </c>
      <c r="B37" s="68"/>
      <c r="C37" s="148">
        <f>+F386</f>
        <v>85.896866666666668</v>
      </c>
      <c r="D37" s="64">
        <f t="shared" si="0"/>
        <v>2.2009647035551687E-3</v>
      </c>
      <c r="E37" s="148">
        <f t="shared" si="1"/>
        <v>85.896866666666668</v>
      </c>
      <c r="F37" s="64">
        <f t="shared" si="2"/>
        <v>2.3398458782650971E-3</v>
      </c>
    </row>
    <row r="38" spans="1:6" s="8" customFormat="1" ht="15.75" customHeight="1">
      <c r="A38" s="190" t="str">
        <f>A388</f>
        <v>5. Monitoramento da Frota</v>
      </c>
      <c r="B38" s="68"/>
      <c r="C38" s="148">
        <f>+F405</f>
        <v>58.816083333333331</v>
      </c>
      <c r="D38" s="64">
        <f t="shared" si="0"/>
        <v>1.5070645582496152E-3</v>
      </c>
      <c r="E38" s="148">
        <f t="shared" si="1"/>
        <v>58.816083333333331</v>
      </c>
      <c r="F38" s="64">
        <f t="shared" si="2"/>
        <v>1.602160538605558E-3</v>
      </c>
    </row>
    <row r="39" spans="1:6" s="8" customFormat="1" ht="15.75" customHeight="1">
      <c r="A39" s="190" t="str">
        <f>A411</f>
        <v>6. Benefícios e Despesas Indiretas - BDI - LUCRO REAL</v>
      </c>
      <c r="B39" s="68"/>
      <c r="C39" s="148">
        <f>+F416</f>
        <v>9404.9685976937199</v>
      </c>
      <c r="D39" s="286">
        <f t="shared" si="0"/>
        <v>0.24098671726755222</v>
      </c>
      <c r="E39" s="359"/>
      <c r="F39" s="361"/>
    </row>
    <row r="40" spans="1:6" s="8" customFormat="1" ht="15.75" customHeight="1" thickBot="1">
      <c r="A40" s="284" t="str">
        <f>A421</f>
        <v>7. Benefícios e Despesas Indiretas - BDI - LUCRO PRESUMIDO</v>
      </c>
      <c r="B40" s="285"/>
      <c r="C40" s="359"/>
      <c r="D40" s="360"/>
      <c r="E40" s="187">
        <f>F426</f>
        <v>7088.5322375688411</v>
      </c>
      <c r="F40" s="287">
        <f>IFERROR(E40/$E$41,0)</f>
        <v>0.19309287501008635</v>
      </c>
    </row>
    <row r="41" spans="1:6" s="2" customFormat="1" ht="15.75" customHeight="1" thickBot="1">
      <c r="A41" s="27" t="s">
        <v>188</v>
      </c>
      <c r="B41" s="28"/>
      <c r="C41" s="288">
        <f>C8+C16+C17+C37+C38+C39</f>
        <v>39026.916936886533</v>
      </c>
      <c r="D41" s="392">
        <f>D8+D16+D17+D37+D38+D39</f>
        <v>1</v>
      </c>
      <c r="E41" s="288">
        <f>E8+E16+E17+E37+E38+E40</f>
        <v>36710.480576761656</v>
      </c>
      <c r="F41" s="392">
        <f>F8+F16+F17+F37+F38+F40</f>
        <v>0.99999999999999989</v>
      </c>
    </row>
    <row r="42" spans="1:6" ht="13.5" thickBot="1">
      <c r="A42" s="195"/>
      <c r="B42" s="36"/>
      <c r="C42" s="36"/>
      <c r="D42" s="40"/>
      <c r="E42" s="40"/>
      <c r="F42" s="67"/>
    </row>
    <row r="43" spans="1:6" s="2" customFormat="1" ht="15" customHeight="1" thickBot="1">
      <c r="A43" s="406" t="s">
        <v>76</v>
      </c>
      <c r="B43" s="407"/>
      <c r="C43" s="407"/>
      <c r="D43" s="407"/>
      <c r="E43" s="408"/>
      <c r="F43" s="67"/>
    </row>
    <row r="44" spans="1:6" s="2" customFormat="1" ht="15" customHeight="1" thickBot="1">
      <c r="A44" s="150" t="s">
        <v>32</v>
      </c>
      <c r="B44" s="17"/>
      <c r="C44" s="17"/>
      <c r="D44" s="293" t="s">
        <v>33</v>
      </c>
      <c r="E44" s="332" t="s">
        <v>333</v>
      </c>
      <c r="F44" s="67"/>
    </row>
    <row r="45" spans="1:6" s="2" customFormat="1" ht="15" customHeight="1">
      <c r="A45" s="44" t="str">
        <f>+A59</f>
        <v>1.1. Motorista caminhão Coletor</v>
      </c>
      <c r="B45" s="43"/>
      <c r="C45" s="43"/>
      <c r="D45" s="333">
        <v>1</v>
      </c>
      <c r="E45" s="309">
        <v>1699.28</v>
      </c>
      <c r="F45" s="67"/>
    </row>
    <row r="46" spans="1:6" s="2" customFormat="1" ht="15" customHeight="1">
      <c r="A46" s="44" t="str">
        <f>+A80</f>
        <v>1.2. Motorista Veículo Higienizador</v>
      </c>
      <c r="B46" s="43"/>
      <c r="C46" s="43"/>
      <c r="D46" s="333">
        <v>1</v>
      </c>
      <c r="E46" s="309">
        <v>1699.28</v>
      </c>
      <c r="F46" s="67"/>
    </row>
    <row r="47" spans="1:6" s="2" customFormat="1" ht="15" customHeight="1">
      <c r="A47" s="44" t="str">
        <f>+A101</f>
        <v xml:space="preserve">1.3. Auxiliar </v>
      </c>
      <c r="B47" s="43"/>
      <c r="C47" s="43"/>
      <c r="D47" s="333">
        <v>1</v>
      </c>
      <c r="E47" s="309">
        <v>1397.27</v>
      </c>
      <c r="F47" s="67"/>
    </row>
    <row r="48" spans="1:6" s="2" customFormat="1" ht="15" customHeight="1" thickBot="1">
      <c r="A48" s="46" t="s">
        <v>48</v>
      </c>
      <c r="B48" s="47"/>
      <c r="C48" s="47"/>
      <c r="D48" s="48">
        <f>SUM(D45:D47)</f>
        <v>3</v>
      </c>
      <c r="E48" s="48"/>
      <c r="F48" s="67"/>
    </row>
    <row r="49" spans="1:6" s="2" customFormat="1" ht="15" customHeight="1" thickBot="1">
      <c r="A49" s="65"/>
      <c r="B49" s="66"/>
      <c r="C49" s="40"/>
      <c r="D49" s="40"/>
      <c r="E49" s="67"/>
      <c r="F49" s="67"/>
    </row>
    <row r="50" spans="1:6" s="2" customFormat="1" ht="15" customHeight="1">
      <c r="A50" s="330" t="s">
        <v>47</v>
      </c>
      <c r="B50" s="331"/>
      <c r="C50" s="331"/>
      <c r="D50" s="331"/>
      <c r="E50" s="31" t="s">
        <v>33</v>
      </c>
      <c r="F50" s="196"/>
    </row>
    <row r="51" spans="1:6" s="2" customFormat="1" ht="15" customHeight="1">
      <c r="A51" s="44" t="str">
        <f>+A191</f>
        <v>3.1. Veículo Coletor Truck c/Compactador de 19 m³</v>
      </c>
      <c r="B51" s="43"/>
      <c r="C51" s="43"/>
      <c r="D51" s="43"/>
      <c r="E51" s="333">
        <v>1</v>
      </c>
      <c r="F51" s="196"/>
    </row>
    <row r="52" spans="1:6" s="2" customFormat="1" ht="15" customHeight="1" thickBot="1">
      <c r="A52" s="393" t="str">
        <f>A265</f>
        <v>3.2. Veículo 4x2 c/dispositivo lavagem e higienização</v>
      </c>
      <c r="B52" s="394"/>
      <c r="C52" s="394"/>
      <c r="D52" s="394"/>
      <c r="E52" s="395">
        <v>1</v>
      </c>
      <c r="F52" s="196"/>
    </row>
    <row r="53" spans="1:6" s="2" customFormat="1" ht="15" customHeight="1" thickBot="1">
      <c r="A53" s="197"/>
      <c r="B53" s="40"/>
      <c r="C53" s="40"/>
      <c r="D53" s="36"/>
      <c r="E53" s="147"/>
      <c r="F53" s="196"/>
    </row>
    <row r="54" spans="1:6" s="8" customFormat="1" ht="15.75" customHeight="1" thickBot="1">
      <c r="A54" s="150" t="s">
        <v>281</v>
      </c>
      <c r="B54" s="378">
        <v>0.5</v>
      </c>
      <c r="C54" s="416" t="s">
        <v>325</v>
      </c>
      <c r="D54" s="417"/>
      <c r="E54" s="418"/>
      <c r="F54" s="198"/>
    </row>
    <row r="55" spans="1:6" s="8" customFormat="1" ht="15.75" customHeight="1" thickBot="1">
      <c r="A55" s="306" t="s">
        <v>281</v>
      </c>
      <c r="B55" s="378">
        <v>8.3299999999999999E-2</v>
      </c>
      <c r="C55" s="416" t="s">
        <v>359</v>
      </c>
      <c r="D55" s="417"/>
      <c r="E55" s="418"/>
      <c r="F55" s="198"/>
    </row>
    <row r="56" spans="1:6" s="2" customFormat="1" ht="15.75" customHeight="1" thickBot="1">
      <c r="A56" s="150" t="s">
        <v>281</v>
      </c>
      <c r="B56" s="378">
        <v>1</v>
      </c>
      <c r="C56" s="420" t="s">
        <v>361</v>
      </c>
      <c r="D56" s="421"/>
      <c r="E56" s="422"/>
      <c r="F56" s="196"/>
    </row>
    <row r="57" spans="1:6" ht="13.15" customHeight="1">
      <c r="A57" s="199"/>
      <c r="B57" s="36"/>
      <c r="C57" s="36"/>
      <c r="D57" s="40"/>
      <c r="E57" s="40"/>
      <c r="F57" s="67"/>
    </row>
    <row r="58" spans="1:6" ht="11.25" customHeight="1">
      <c r="A58" s="199" t="s">
        <v>38</v>
      </c>
      <c r="B58" s="36"/>
      <c r="C58" s="36"/>
      <c r="D58" s="40"/>
      <c r="E58" s="40"/>
      <c r="F58" s="67"/>
    </row>
    <row r="59" spans="1:6" ht="13.5" thickBot="1">
      <c r="A59" s="199" t="s">
        <v>372</v>
      </c>
      <c r="B59" s="36"/>
      <c r="C59" s="36"/>
      <c r="D59" s="40"/>
      <c r="E59" s="40"/>
      <c r="F59" s="67"/>
    </row>
    <row r="60" spans="1:6" s="9" customFormat="1" ht="13.15" customHeight="1" thickBot="1">
      <c r="A60" s="365" t="s">
        <v>51</v>
      </c>
      <c r="B60" s="364" t="s">
        <v>52</v>
      </c>
      <c r="C60" s="364" t="s">
        <v>33</v>
      </c>
      <c r="D60" s="363" t="s">
        <v>184</v>
      </c>
      <c r="E60" s="363" t="s">
        <v>53</v>
      </c>
      <c r="F60" s="362" t="s">
        <v>54</v>
      </c>
    </row>
    <row r="61" spans="1:6">
      <c r="A61" s="205" t="s">
        <v>201</v>
      </c>
      <c r="B61" s="10" t="s">
        <v>8</v>
      </c>
      <c r="C61" s="10">
        <v>1</v>
      </c>
      <c r="D61" s="11">
        <f>E45</f>
        <v>1699.28</v>
      </c>
      <c r="E61" s="11">
        <f>C61*D61</f>
        <v>1699.28</v>
      </c>
      <c r="F61" s="67"/>
    </row>
    <row r="62" spans="1:6">
      <c r="A62" s="205" t="s">
        <v>202</v>
      </c>
      <c r="B62" s="10" t="s">
        <v>8</v>
      </c>
      <c r="C62" s="10">
        <v>1</v>
      </c>
      <c r="D62" s="320">
        <v>1100</v>
      </c>
      <c r="E62" s="14"/>
      <c r="F62" s="67"/>
    </row>
    <row r="63" spans="1:6">
      <c r="A63" s="398" t="s">
        <v>7</v>
      </c>
      <c r="B63" s="13" t="s">
        <v>77</v>
      </c>
      <c r="C63" s="320">
        <f>2*C125</f>
        <v>50</v>
      </c>
      <c r="D63" s="12"/>
      <c r="E63" s="12"/>
      <c r="F63" s="67"/>
    </row>
    <row r="64" spans="1:6">
      <c r="A64" s="399"/>
      <c r="B64" s="13" t="s">
        <v>79</v>
      </c>
      <c r="C64" s="14">
        <f>C63*8/7</f>
        <v>57.142857142857146</v>
      </c>
      <c r="D64" s="14">
        <f>D61/220*0.2</f>
        <v>1.5448000000000002</v>
      </c>
      <c r="E64" s="51">
        <f>C64*D64</f>
        <v>88.274285714285725</v>
      </c>
      <c r="F64" s="67"/>
    </row>
    <row r="65" spans="1:6">
      <c r="A65" s="206" t="s">
        <v>28</v>
      </c>
      <c r="B65" s="13" t="s">
        <v>77</v>
      </c>
      <c r="C65" s="320">
        <v>5.33</v>
      </c>
      <c r="D65" s="14">
        <f>D61/220*2</f>
        <v>15.448</v>
      </c>
      <c r="E65" s="14">
        <f>C65*D65</f>
        <v>82.33784</v>
      </c>
      <c r="F65" s="67"/>
    </row>
    <row r="66" spans="1:6">
      <c r="A66" s="398" t="s">
        <v>78</v>
      </c>
      <c r="B66" s="13" t="s">
        <v>77</v>
      </c>
      <c r="C66" s="320">
        <v>2</v>
      </c>
      <c r="D66" s="14"/>
      <c r="E66" s="14"/>
      <c r="F66" s="67"/>
    </row>
    <row r="67" spans="1:6">
      <c r="A67" s="399"/>
      <c r="B67" s="13" t="s">
        <v>79</v>
      </c>
      <c r="C67" s="14">
        <f>C66*8/7</f>
        <v>2.2857142857142856</v>
      </c>
      <c r="D67" s="14">
        <f>D61/220*2*1.2</f>
        <v>18.537600000000001</v>
      </c>
      <c r="E67" s="14">
        <f>C67*D67</f>
        <v>42.371657142857146</v>
      </c>
      <c r="F67" s="67"/>
    </row>
    <row r="68" spans="1:6">
      <c r="A68" s="206" t="s">
        <v>29</v>
      </c>
      <c r="B68" s="13" t="s">
        <v>0</v>
      </c>
      <c r="C68" s="320"/>
      <c r="D68" s="14">
        <f>D61/220*1.5</f>
        <v>11.586</v>
      </c>
      <c r="E68" s="14">
        <f>C68*D68</f>
        <v>0</v>
      </c>
      <c r="F68" s="67"/>
    </row>
    <row r="69" spans="1:6">
      <c r="A69" s="398" t="s">
        <v>170</v>
      </c>
      <c r="B69" s="13" t="s">
        <v>77</v>
      </c>
      <c r="C69" s="320"/>
      <c r="D69" s="14"/>
      <c r="E69" s="14"/>
      <c r="F69" s="67"/>
    </row>
    <row r="70" spans="1:6">
      <c r="A70" s="399"/>
      <c r="B70" s="13" t="s">
        <v>79</v>
      </c>
      <c r="C70" s="14">
        <f>C69*8/7</f>
        <v>0</v>
      </c>
      <c r="D70" s="14">
        <f>D61/220*1.5*1.2</f>
        <v>13.9032</v>
      </c>
      <c r="E70" s="14">
        <f>C70*D70</f>
        <v>0</v>
      </c>
      <c r="F70" s="67"/>
    </row>
    <row r="71" spans="1:6" ht="13.15" customHeight="1">
      <c r="A71" s="206" t="s">
        <v>171</v>
      </c>
      <c r="B71" s="13" t="s">
        <v>27</v>
      </c>
      <c r="C71" s="36"/>
      <c r="D71" s="14">
        <f>64/301*(SUM(E65:E70))</f>
        <v>26.51630504034172</v>
      </c>
      <c r="E71" s="14">
        <f>D71</f>
        <v>26.51630504034172</v>
      </c>
      <c r="F71" s="67"/>
    </row>
    <row r="72" spans="1:6">
      <c r="A72" s="206" t="s">
        <v>169</v>
      </c>
      <c r="B72" s="13"/>
      <c r="C72" s="311">
        <v>2</v>
      </c>
      <c r="D72" s="14"/>
      <c r="E72" s="14"/>
      <c r="F72" s="67"/>
    </row>
    <row r="73" spans="1:6">
      <c r="A73" s="206" t="s">
        <v>1</v>
      </c>
      <c r="B73" s="13" t="s">
        <v>2</v>
      </c>
      <c r="C73" s="320">
        <v>40</v>
      </c>
      <c r="D73" s="51">
        <f>IF(C72=2,SUM(E61:E71),IF(C72=1,SUM(E61:E71)*D62/D61,0))</f>
        <v>1938.7800878974845</v>
      </c>
      <c r="E73" s="14">
        <f>C73*D73/100</f>
        <v>775.51203515899385</v>
      </c>
      <c r="F73" s="67"/>
    </row>
    <row r="74" spans="1:6" s="8" customFormat="1">
      <c r="A74" s="209" t="s">
        <v>3</v>
      </c>
      <c r="B74" s="191"/>
      <c r="C74" s="191"/>
      <c r="D74" s="22"/>
      <c r="E74" s="58">
        <f>SUM(E61:E73)</f>
        <v>2714.2921230564784</v>
      </c>
      <c r="F74" s="208"/>
    </row>
    <row r="75" spans="1:6">
      <c r="A75" s="206" t="s">
        <v>4</v>
      </c>
      <c r="B75" s="13" t="s">
        <v>2</v>
      </c>
      <c r="C75" s="70">
        <f>'2.Encargos Sociais'!$C$31*100</f>
        <v>72.231660000000005</v>
      </c>
      <c r="D75" s="14">
        <f>E74</f>
        <v>2714.2921230564784</v>
      </c>
      <c r="E75" s="14">
        <f>D75*C75/100</f>
        <v>1960.5782577329373</v>
      </c>
      <c r="F75" s="67"/>
    </row>
    <row r="76" spans="1:6" s="8" customFormat="1">
      <c r="A76" s="209" t="s">
        <v>332</v>
      </c>
      <c r="B76" s="191"/>
      <c r="C76" s="191"/>
      <c r="D76" s="22"/>
      <c r="E76" s="58">
        <f>E74+E75</f>
        <v>4674.8703807894162</v>
      </c>
      <c r="F76" s="208"/>
    </row>
    <row r="77" spans="1:6" ht="13.5" thickBot="1">
      <c r="A77" s="206" t="s">
        <v>5</v>
      </c>
      <c r="B77" s="13" t="s">
        <v>6</v>
      </c>
      <c r="C77" s="45">
        <f>D45</f>
        <v>1</v>
      </c>
      <c r="D77" s="14">
        <f>E76</f>
        <v>4674.8703807894162</v>
      </c>
      <c r="E77" s="14">
        <f>C77*D77</f>
        <v>4674.8703807894162</v>
      </c>
      <c r="F77" s="67"/>
    </row>
    <row r="78" spans="1:6" ht="13.5" thickBot="1">
      <c r="A78" s="195"/>
      <c r="B78" s="36"/>
      <c r="C78" s="414" t="s">
        <v>159</v>
      </c>
      <c r="D78" s="419"/>
      <c r="E78" s="396">
        <f>B$54</f>
        <v>0.5</v>
      </c>
      <c r="F78" s="366">
        <f>E77*E78</f>
        <v>2337.4351903947081</v>
      </c>
    </row>
    <row r="79" spans="1:6" ht="11.25" customHeight="1">
      <c r="A79" s="195"/>
      <c r="B79" s="36"/>
      <c r="C79" s="36"/>
      <c r="D79" s="40"/>
      <c r="E79" s="40"/>
      <c r="F79" s="67"/>
    </row>
    <row r="80" spans="1:6" ht="13.5" thickBot="1">
      <c r="A80" s="200" t="s">
        <v>373</v>
      </c>
      <c r="B80" s="36"/>
      <c r="C80" s="36"/>
      <c r="D80" s="40"/>
      <c r="E80" s="40"/>
      <c r="F80" s="67"/>
    </row>
    <row r="81" spans="1:6" s="9" customFormat="1" ht="13.15" customHeight="1" thickBot="1">
      <c r="A81" s="365" t="s">
        <v>51</v>
      </c>
      <c r="B81" s="364" t="s">
        <v>52</v>
      </c>
      <c r="C81" s="364" t="s">
        <v>33</v>
      </c>
      <c r="D81" s="363" t="s">
        <v>184</v>
      </c>
      <c r="E81" s="363" t="s">
        <v>53</v>
      </c>
      <c r="F81" s="362" t="s">
        <v>54</v>
      </c>
    </row>
    <row r="82" spans="1:6">
      <c r="A82" s="205" t="s">
        <v>201</v>
      </c>
      <c r="B82" s="10" t="s">
        <v>8</v>
      </c>
      <c r="C82" s="10">
        <v>1</v>
      </c>
      <c r="D82" s="11">
        <f>E46</f>
        <v>1699.28</v>
      </c>
      <c r="E82" s="11">
        <f>C82*D82</f>
        <v>1699.28</v>
      </c>
      <c r="F82" s="67"/>
    </row>
    <row r="83" spans="1:6">
      <c r="A83" s="205" t="s">
        <v>202</v>
      </c>
      <c r="B83" s="10" t="s">
        <v>8</v>
      </c>
      <c r="C83" s="10">
        <v>1</v>
      </c>
      <c r="D83" s="14">
        <f>D$62</f>
        <v>1100</v>
      </c>
      <c r="E83" s="14"/>
      <c r="F83" s="67"/>
    </row>
    <row r="84" spans="1:6">
      <c r="A84" s="398" t="s">
        <v>7</v>
      </c>
      <c r="B84" s="13" t="s">
        <v>77</v>
      </c>
      <c r="C84" s="320">
        <f>2*C125</f>
        <v>50</v>
      </c>
      <c r="D84" s="12"/>
      <c r="E84" s="12"/>
      <c r="F84" s="67"/>
    </row>
    <row r="85" spans="1:6">
      <c r="A85" s="399"/>
      <c r="B85" s="13" t="s">
        <v>79</v>
      </c>
      <c r="C85" s="14">
        <f>C84*8/7</f>
        <v>57.142857142857146</v>
      </c>
      <c r="D85" s="14">
        <f>D82/220*0.2</f>
        <v>1.5448000000000002</v>
      </c>
      <c r="E85" s="51">
        <f>C85*D85</f>
        <v>88.274285714285725</v>
      </c>
      <c r="F85" s="67"/>
    </row>
    <row r="86" spans="1:6">
      <c r="A86" s="206" t="s">
        <v>28</v>
      </c>
      <c r="B86" s="13" t="s">
        <v>0</v>
      </c>
      <c r="C86" s="320">
        <v>5.33</v>
      </c>
      <c r="D86" s="14">
        <f>D82/220*2</f>
        <v>15.448</v>
      </c>
      <c r="E86" s="14">
        <f>C86*D86</f>
        <v>82.33784</v>
      </c>
      <c r="F86" s="67"/>
    </row>
    <row r="87" spans="1:6">
      <c r="A87" s="398" t="s">
        <v>78</v>
      </c>
      <c r="B87" s="13" t="s">
        <v>77</v>
      </c>
      <c r="C87" s="320">
        <v>2</v>
      </c>
      <c r="D87" s="14"/>
      <c r="E87" s="14"/>
      <c r="F87" s="67"/>
    </row>
    <row r="88" spans="1:6">
      <c r="A88" s="423"/>
      <c r="B88" s="13" t="s">
        <v>79</v>
      </c>
      <c r="C88" s="14">
        <f>C87*8/7</f>
        <v>2.2857142857142856</v>
      </c>
      <c r="D88" s="14">
        <f>D82/220*2*1.2</f>
        <v>18.537600000000001</v>
      </c>
      <c r="E88" s="14">
        <f>C88*D88</f>
        <v>42.371657142857146</v>
      </c>
      <c r="F88" s="67"/>
    </row>
    <row r="89" spans="1:6">
      <c r="A89" s="206" t="s">
        <v>29</v>
      </c>
      <c r="B89" s="13" t="s">
        <v>0</v>
      </c>
      <c r="C89" s="310"/>
      <c r="D89" s="14">
        <f>D82/220*1.5</f>
        <v>11.586</v>
      </c>
      <c r="E89" s="14">
        <f>C89*D89</f>
        <v>0</v>
      </c>
      <c r="F89" s="67"/>
    </row>
    <row r="90" spans="1:6">
      <c r="A90" s="398" t="s">
        <v>170</v>
      </c>
      <c r="B90" s="13" t="s">
        <v>77</v>
      </c>
      <c r="C90" s="320"/>
      <c r="D90" s="14"/>
      <c r="E90" s="14"/>
      <c r="F90" s="67"/>
    </row>
    <row r="91" spans="1:6">
      <c r="A91" s="423"/>
      <c r="B91" s="13" t="s">
        <v>79</v>
      </c>
      <c r="C91" s="14">
        <f>C90*8/7</f>
        <v>0</v>
      </c>
      <c r="D91" s="14">
        <f>D82/220*1.5*1.2</f>
        <v>13.9032</v>
      </c>
      <c r="E91" s="14">
        <f>C91*D91</f>
        <v>0</v>
      </c>
      <c r="F91" s="67"/>
    </row>
    <row r="92" spans="1:6" ht="13.15" customHeight="1">
      <c r="A92" s="206" t="s">
        <v>171</v>
      </c>
      <c r="B92" s="13" t="s">
        <v>27</v>
      </c>
      <c r="C92" s="36"/>
      <c r="D92" s="14">
        <f>64/301*(SUM(E86:E91))</f>
        <v>26.51630504034172</v>
      </c>
      <c r="E92" s="14">
        <f>D92</f>
        <v>26.51630504034172</v>
      </c>
      <c r="F92" s="67"/>
    </row>
    <row r="93" spans="1:6">
      <c r="A93" s="206" t="s">
        <v>169</v>
      </c>
      <c r="B93" s="13"/>
      <c r="C93" s="311">
        <v>2</v>
      </c>
      <c r="D93" s="14"/>
      <c r="E93" s="14"/>
      <c r="F93" s="67"/>
    </row>
    <row r="94" spans="1:6">
      <c r="A94" s="206" t="s">
        <v>1</v>
      </c>
      <c r="B94" s="13" t="s">
        <v>2</v>
      </c>
      <c r="C94" s="51">
        <f>C73</f>
        <v>40</v>
      </c>
      <c r="D94" s="51">
        <f>IF(C93=2,SUM(E82:E92),IF(C93=1,SUM(E82:E92)*D83/D82,0))</f>
        <v>1938.7800878974845</v>
      </c>
      <c r="E94" s="14">
        <f>C94*D94/100</f>
        <v>775.51203515899385</v>
      </c>
      <c r="F94" s="67"/>
    </row>
    <row r="95" spans="1:6" s="8" customFormat="1">
      <c r="A95" s="209" t="s">
        <v>3</v>
      </c>
      <c r="B95" s="191"/>
      <c r="C95" s="191"/>
      <c r="D95" s="22"/>
      <c r="E95" s="58">
        <f>SUM(E82:E94)</f>
        <v>2714.2921230564784</v>
      </c>
      <c r="F95" s="208"/>
    </row>
    <row r="96" spans="1:6">
      <c r="A96" s="206" t="s">
        <v>4</v>
      </c>
      <c r="B96" s="13" t="s">
        <v>2</v>
      </c>
      <c r="C96" s="70">
        <f>'2.Encargos Sociais'!$C$31*100</f>
        <v>72.231660000000005</v>
      </c>
      <c r="D96" s="14">
        <f>E95</f>
        <v>2714.2921230564784</v>
      </c>
      <c r="E96" s="14">
        <f>D96*C96/100</f>
        <v>1960.5782577329373</v>
      </c>
      <c r="F96" s="67"/>
    </row>
    <row r="97" spans="1:6" s="8" customFormat="1">
      <c r="A97" s="209" t="s">
        <v>332</v>
      </c>
      <c r="B97" s="191"/>
      <c r="C97" s="191"/>
      <c r="D97" s="22"/>
      <c r="E97" s="58">
        <f>E95+E96</f>
        <v>4674.8703807894162</v>
      </c>
      <c r="F97" s="208"/>
    </row>
    <row r="98" spans="1:6" ht="13.5" thickBot="1">
      <c r="A98" s="206" t="s">
        <v>5</v>
      </c>
      <c r="B98" s="13" t="s">
        <v>6</v>
      </c>
      <c r="C98" s="45">
        <f>D46</f>
        <v>1</v>
      </c>
      <c r="D98" s="14">
        <f>E97</f>
        <v>4674.8703807894162</v>
      </c>
      <c r="E98" s="14">
        <f>C98*D98</f>
        <v>4674.8703807894162</v>
      </c>
      <c r="F98" s="67"/>
    </row>
    <row r="99" spans="1:6" ht="13.5" thickBot="1">
      <c r="A99" s="195"/>
      <c r="B99" s="36"/>
      <c r="C99" s="414" t="s">
        <v>159</v>
      </c>
      <c r="D99" s="419"/>
      <c r="E99" s="396">
        <f>B$55</f>
        <v>8.3299999999999999E-2</v>
      </c>
      <c r="F99" s="366">
        <f>E98*E99</f>
        <v>389.41670271975835</v>
      </c>
    </row>
    <row r="100" spans="1:6" ht="11.25" customHeight="1">
      <c r="A100" s="195"/>
      <c r="B100" s="36"/>
      <c r="C100" s="36"/>
      <c r="D100" s="40"/>
      <c r="E100" s="40"/>
      <c r="F100" s="67"/>
    </row>
    <row r="101" spans="1:6" ht="13.5" thickBot="1">
      <c r="A101" s="199" t="s">
        <v>374</v>
      </c>
      <c r="B101" s="36"/>
      <c r="C101" s="36"/>
      <c r="D101" s="40"/>
      <c r="E101" s="40"/>
      <c r="F101" s="67"/>
    </row>
    <row r="102" spans="1:6" ht="13.5" thickBot="1">
      <c r="A102" s="365" t="s">
        <v>51</v>
      </c>
      <c r="B102" s="364" t="s">
        <v>52</v>
      </c>
      <c r="C102" s="364" t="s">
        <v>33</v>
      </c>
      <c r="D102" s="363" t="s">
        <v>184</v>
      </c>
      <c r="E102" s="363" t="s">
        <v>53</v>
      </c>
      <c r="F102" s="362" t="s">
        <v>54</v>
      </c>
    </row>
    <row r="103" spans="1:6">
      <c r="A103" s="205" t="s">
        <v>201</v>
      </c>
      <c r="B103" s="10" t="s">
        <v>8</v>
      </c>
      <c r="C103" s="10">
        <v>1</v>
      </c>
      <c r="D103" s="11">
        <f>E47</f>
        <v>1397.27</v>
      </c>
      <c r="E103" s="11">
        <f>C103*D103</f>
        <v>1397.27</v>
      </c>
      <c r="F103" s="67"/>
    </row>
    <row r="104" spans="1:6">
      <c r="A104" s="205" t="s">
        <v>202</v>
      </c>
      <c r="B104" s="10" t="s">
        <v>8</v>
      </c>
      <c r="C104" s="10">
        <v>1</v>
      </c>
      <c r="D104" s="14">
        <f>D$62</f>
        <v>1100</v>
      </c>
      <c r="E104" s="14"/>
      <c r="F104" s="67"/>
    </row>
    <row r="105" spans="1:6">
      <c r="A105" s="398" t="s">
        <v>7</v>
      </c>
      <c r="B105" s="13" t="s">
        <v>77</v>
      </c>
      <c r="C105" s="320">
        <f>2*C125</f>
        <v>50</v>
      </c>
      <c r="D105" s="12"/>
      <c r="E105" s="12"/>
      <c r="F105" s="67"/>
    </row>
    <row r="106" spans="1:6">
      <c r="A106" s="423"/>
      <c r="B106" s="13" t="s">
        <v>79</v>
      </c>
      <c r="C106" s="14">
        <f>C105*8/7</f>
        <v>57.142857142857146</v>
      </c>
      <c r="D106" s="14">
        <f>D103/220*0.2</f>
        <v>1.2702454545454547</v>
      </c>
      <c r="E106" s="51">
        <f>C106*D106</f>
        <v>72.585454545454553</v>
      </c>
      <c r="F106" s="67"/>
    </row>
    <row r="107" spans="1:6">
      <c r="A107" s="206" t="s">
        <v>28</v>
      </c>
      <c r="B107" s="13" t="s">
        <v>0</v>
      </c>
      <c r="C107" s="320">
        <v>5.33</v>
      </c>
      <c r="D107" s="14">
        <f>D103/220*2</f>
        <v>12.702454545454545</v>
      </c>
      <c r="E107" s="14">
        <f>C107*D107</f>
        <v>67.70408272727272</v>
      </c>
      <c r="F107" s="67"/>
    </row>
    <row r="108" spans="1:6">
      <c r="A108" s="398" t="s">
        <v>78</v>
      </c>
      <c r="B108" s="13" t="s">
        <v>77</v>
      </c>
      <c r="C108" s="320">
        <v>2</v>
      </c>
      <c r="D108" s="14"/>
      <c r="E108" s="14"/>
      <c r="F108" s="67"/>
    </row>
    <row r="109" spans="1:6">
      <c r="A109" s="423"/>
      <c r="B109" s="13" t="s">
        <v>79</v>
      </c>
      <c r="C109" s="14">
        <f>C108*8/7</f>
        <v>2.2857142857142856</v>
      </c>
      <c r="D109" s="14">
        <f>D103/220*2*1.2</f>
        <v>15.242945454545453</v>
      </c>
      <c r="E109" s="14">
        <f>C109*D109</f>
        <v>34.841018181818178</v>
      </c>
      <c r="F109" s="67"/>
    </row>
    <row r="110" spans="1:6">
      <c r="A110" s="206" t="s">
        <v>29</v>
      </c>
      <c r="B110" s="13" t="s">
        <v>0</v>
      </c>
      <c r="C110" s="320"/>
      <c r="D110" s="14">
        <f>D103/220*1.5</f>
        <v>9.5268409090909092</v>
      </c>
      <c r="E110" s="14">
        <f>C110*D110</f>
        <v>0</v>
      </c>
      <c r="F110" s="67"/>
    </row>
    <row r="111" spans="1:6">
      <c r="A111" s="398" t="s">
        <v>170</v>
      </c>
      <c r="B111" s="13" t="s">
        <v>77</v>
      </c>
      <c r="C111" s="320"/>
      <c r="D111" s="14"/>
      <c r="E111" s="14"/>
      <c r="F111" s="67"/>
    </row>
    <row r="112" spans="1:6">
      <c r="A112" s="423"/>
      <c r="B112" s="13" t="s">
        <v>79</v>
      </c>
      <c r="C112" s="14">
        <f>C111*8/7</f>
        <v>0</v>
      </c>
      <c r="D112" s="14">
        <f>D103/220*1.5*1.2</f>
        <v>11.43220909090909</v>
      </c>
      <c r="E112" s="14">
        <f>C112*D112</f>
        <v>0</v>
      </c>
      <c r="F112" s="67"/>
    </row>
    <row r="113" spans="1:6" ht="13.15" customHeight="1">
      <c r="A113" s="206" t="s">
        <v>171</v>
      </c>
      <c r="B113" s="13" t="s">
        <v>27</v>
      </c>
      <c r="C113" s="36"/>
      <c r="D113" s="14">
        <f>64/301*(SUM(E107:E112))</f>
        <v>21.803609495620659</v>
      </c>
      <c r="E113" s="14">
        <f>D113</f>
        <v>21.803609495620659</v>
      </c>
      <c r="F113" s="67"/>
    </row>
    <row r="114" spans="1:6">
      <c r="A114" s="206" t="s">
        <v>169</v>
      </c>
      <c r="B114" s="13"/>
      <c r="C114" s="311">
        <v>2</v>
      </c>
      <c r="D114" s="14"/>
      <c r="E114" s="14"/>
      <c r="F114" s="67"/>
    </row>
    <row r="115" spans="1:6">
      <c r="A115" s="206" t="s">
        <v>1</v>
      </c>
      <c r="B115" s="13" t="s">
        <v>2</v>
      </c>
      <c r="C115" s="51">
        <f>+C73</f>
        <v>40</v>
      </c>
      <c r="D115" s="51">
        <f>IF(C114=2,SUM(E103:E113),IF(C114=1,SUM(E103:E113)*D104/D103,0))</f>
        <v>1594.2041649501657</v>
      </c>
      <c r="E115" s="14">
        <f>C115*D115/100</f>
        <v>637.68166598006633</v>
      </c>
      <c r="F115" s="67"/>
    </row>
    <row r="116" spans="1:6" s="8" customFormat="1">
      <c r="A116" s="209" t="s">
        <v>3</v>
      </c>
      <c r="B116" s="191"/>
      <c r="C116" s="191"/>
      <c r="D116" s="22"/>
      <c r="E116" s="58">
        <f>SUM(E103:E115)</f>
        <v>2231.8858309302323</v>
      </c>
      <c r="F116" s="208"/>
    </row>
    <row r="117" spans="1:6">
      <c r="A117" s="206" t="s">
        <v>4</v>
      </c>
      <c r="B117" s="13" t="s">
        <v>2</v>
      </c>
      <c r="C117" s="70">
        <f>'2.Encargos Sociais'!$C$31*100</f>
        <v>72.231660000000005</v>
      </c>
      <c r="D117" s="14">
        <f>E116</f>
        <v>2231.8858309302323</v>
      </c>
      <c r="E117" s="14">
        <f>D117*C117/100</f>
        <v>1612.1281849857003</v>
      </c>
      <c r="F117" s="67"/>
    </row>
    <row r="118" spans="1:6" s="8" customFormat="1">
      <c r="A118" s="209" t="s">
        <v>332</v>
      </c>
      <c r="B118" s="191"/>
      <c r="C118" s="191"/>
      <c r="D118" s="22"/>
      <c r="E118" s="58">
        <f>E116+E117</f>
        <v>3844.0140159159328</v>
      </c>
      <c r="F118" s="208"/>
    </row>
    <row r="119" spans="1:6" ht="13.5" thickBot="1">
      <c r="A119" s="206" t="s">
        <v>5</v>
      </c>
      <c r="B119" s="13" t="s">
        <v>6</v>
      </c>
      <c r="C119" s="45">
        <f>D47</f>
        <v>1</v>
      </c>
      <c r="D119" s="14">
        <f>E118</f>
        <v>3844.0140159159328</v>
      </c>
      <c r="E119" s="14">
        <f>C119*D119</f>
        <v>3844.0140159159328</v>
      </c>
      <c r="F119" s="67"/>
    </row>
    <row r="120" spans="1:6" ht="13.5" thickBot="1">
      <c r="A120" s="195"/>
      <c r="B120" s="36"/>
      <c r="C120" s="414" t="s">
        <v>159</v>
      </c>
      <c r="D120" s="419"/>
      <c r="E120" s="396">
        <f>B$55</f>
        <v>8.3299999999999999E-2</v>
      </c>
      <c r="F120" s="366">
        <f>E119*E120</f>
        <v>320.20636752579719</v>
      </c>
    </row>
    <row r="121" spans="1:6" ht="11.25" customHeight="1">
      <c r="A121" s="195"/>
      <c r="B121" s="36"/>
      <c r="C121" s="36"/>
      <c r="D121" s="40"/>
      <c r="E121" s="40"/>
      <c r="F121" s="67"/>
    </row>
    <row r="122" spans="1:6" ht="13.5" thickBot="1">
      <c r="A122" s="199" t="s">
        <v>375</v>
      </c>
      <c r="B122" s="192"/>
      <c r="C122" s="36"/>
      <c r="D122" s="36"/>
      <c r="E122" s="36"/>
      <c r="F122" s="67"/>
    </row>
    <row r="123" spans="1:6" ht="13.5" thickBot="1">
      <c r="A123" s="365" t="s">
        <v>51</v>
      </c>
      <c r="B123" s="364" t="s">
        <v>52</v>
      </c>
      <c r="C123" s="364" t="s">
        <v>33</v>
      </c>
      <c r="D123" s="363" t="s">
        <v>184</v>
      </c>
      <c r="E123" s="363" t="s">
        <v>53</v>
      </c>
      <c r="F123" s="362" t="s">
        <v>54</v>
      </c>
    </row>
    <row r="124" spans="1:6">
      <c r="A124" s="206" t="s">
        <v>72</v>
      </c>
      <c r="B124" s="13" t="s">
        <v>27</v>
      </c>
      <c r="C124" s="52">
        <v>1</v>
      </c>
      <c r="D124" s="315">
        <v>4.2</v>
      </c>
      <c r="E124" s="14"/>
      <c r="F124" s="67"/>
    </row>
    <row r="125" spans="1:6">
      <c r="A125" s="206" t="s">
        <v>73</v>
      </c>
      <c r="B125" s="13" t="s">
        <v>74</v>
      </c>
      <c r="C125" s="314">
        <v>25</v>
      </c>
      <c r="D125" s="14"/>
      <c r="E125" s="14"/>
      <c r="F125" s="67"/>
    </row>
    <row r="126" spans="1:6">
      <c r="A126" s="205" t="s">
        <v>327</v>
      </c>
      <c r="B126" s="10" t="s">
        <v>9</v>
      </c>
      <c r="C126" s="33">
        <f>$C$125*2*(D45*B54)</f>
        <v>25</v>
      </c>
      <c r="D126" s="11">
        <f>IFERROR((($C$125*2*$D$124)-(E45*0.06))/($C$125*2),"-")</f>
        <v>2.1608640000000001</v>
      </c>
      <c r="E126" s="11">
        <f>IFERROR(C126*D126,"-")</f>
        <v>54.021600000000007</v>
      </c>
      <c r="F126" s="67"/>
    </row>
    <row r="127" spans="1:6">
      <c r="A127" s="307" t="s">
        <v>351</v>
      </c>
      <c r="B127" s="10" t="s">
        <v>9</v>
      </c>
      <c r="C127" s="298">
        <f>$C$125*2*(D46*B55)</f>
        <v>4.165</v>
      </c>
      <c r="D127" s="11">
        <f>IFERROR((($C$125*2*$D$124)-(E46*0.06))/($C$125*2),"-")</f>
        <v>2.1608640000000001</v>
      </c>
      <c r="E127" s="11">
        <f>IFERROR(C127*D127,"-")</f>
        <v>8.9999985599999999</v>
      </c>
      <c r="F127" s="67"/>
    </row>
    <row r="128" spans="1:6" ht="13.5" thickBot="1">
      <c r="A128" s="307" t="s">
        <v>335</v>
      </c>
      <c r="B128" s="10" t="s">
        <v>9</v>
      </c>
      <c r="C128" s="298">
        <f>$C$125*2*(D47*B55)</f>
        <v>4.165</v>
      </c>
      <c r="D128" s="11">
        <f>IFERROR((($C$125*2*$D$124)-(E47*0.06))/($C$125*2),"-")</f>
        <v>2.5232760000000001</v>
      </c>
      <c r="E128" s="11">
        <f>IFERROR(C128*D128,"-")</f>
        <v>10.509444540000001</v>
      </c>
      <c r="F128" s="67"/>
    </row>
    <row r="129" spans="1:6" ht="13.5" thickBot="1">
      <c r="A129" s="195"/>
      <c r="B129" s="36"/>
      <c r="C129" s="36"/>
      <c r="D129" s="40"/>
      <c r="E129" s="40"/>
      <c r="F129" s="367">
        <f>SUM(E126:E128)</f>
        <v>73.531043100000005</v>
      </c>
    </row>
    <row r="130" spans="1:6" ht="11.25" customHeight="1">
      <c r="A130" s="195"/>
      <c r="B130" s="36"/>
      <c r="C130" s="36"/>
      <c r="D130" s="40"/>
      <c r="E130" s="40"/>
      <c r="F130" s="67"/>
    </row>
    <row r="131" spans="1:6" ht="13.5" thickBot="1">
      <c r="A131" s="200" t="s">
        <v>376</v>
      </c>
      <c r="B131" s="36"/>
      <c r="C131" s="36"/>
      <c r="D131" s="40"/>
      <c r="E131" s="40"/>
      <c r="F131" s="211"/>
    </row>
    <row r="132" spans="1:6" ht="13.5" thickBot="1">
      <c r="A132" s="365" t="s">
        <v>51</v>
      </c>
      <c r="B132" s="364" t="s">
        <v>52</v>
      </c>
      <c r="C132" s="364" t="s">
        <v>33</v>
      </c>
      <c r="D132" s="363" t="s">
        <v>184</v>
      </c>
      <c r="E132" s="363" t="s">
        <v>53</v>
      </c>
      <c r="F132" s="362" t="s">
        <v>54</v>
      </c>
    </row>
    <row r="133" spans="1:6">
      <c r="A133" s="210" t="s">
        <v>328</v>
      </c>
      <c r="B133" s="13" t="s">
        <v>10</v>
      </c>
      <c r="C133" s="243">
        <f>C$125*(D45*B54)</f>
        <v>12.5</v>
      </c>
      <c r="D133" s="355">
        <v>11.98</v>
      </c>
      <c r="E133" s="33">
        <f>C133*D133</f>
        <v>149.75</v>
      </c>
      <c r="F133" s="211"/>
    </row>
    <row r="134" spans="1:6">
      <c r="A134" s="217" t="s">
        <v>264</v>
      </c>
      <c r="B134" s="183" t="s">
        <v>2</v>
      </c>
      <c r="C134" s="356">
        <v>0.2</v>
      </c>
      <c r="D134" s="235">
        <f>-D133*C134</f>
        <v>-2.3960000000000004</v>
      </c>
      <c r="E134" s="33">
        <f>D134*C133</f>
        <v>-29.950000000000003</v>
      </c>
      <c r="F134" s="211"/>
    </row>
    <row r="135" spans="1:6">
      <c r="A135" s="210" t="s">
        <v>334</v>
      </c>
      <c r="B135" s="13" t="s">
        <v>10</v>
      </c>
      <c r="C135" s="243">
        <f>C$125*(D46*B55)</f>
        <v>2.0825</v>
      </c>
      <c r="D135" s="355">
        <v>11.98</v>
      </c>
      <c r="E135" s="33">
        <f>C135*D135</f>
        <v>24.948350000000001</v>
      </c>
      <c r="F135" s="211"/>
    </row>
    <row r="136" spans="1:6">
      <c r="A136" s="210" t="s">
        <v>264</v>
      </c>
      <c r="B136" s="183" t="s">
        <v>2</v>
      </c>
      <c r="C136" s="356">
        <v>0.2</v>
      </c>
      <c r="D136" s="235">
        <f>-D135*C136</f>
        <v>-2.3960000000000004</v>
      </c>
      <c r="E136" s="33">
        <f>D136*C135</f>
        <v>-4.9896700000000012</v>
      </c>
      <c r="F136" s="211"/>
    </row>
    <row r="137" spans="1:6">
      <c r="A137" s="210" t="s">
        <v>335</v>
      </c>
      <c r="B137" s="13" t="s">
        <v>10</v>
      </c>
      <c r="C137" s="235">
        <f>C125*(D47*B55)</f>
        <v>2.0825</v>
      </c>
      <c r="D137" s="355">
        <v>18.2</v>
      </c>
      <c r="E137" s="33">
        <f>C137*D137</f>
        <v>37.901499999999999</v>
      </c>
      <c r="F137" s="211"/>
    </row>
    <row r="138" spans="1:6" ht="13.5" thickBot="1">
      <c r="A138" s="210" t="s">
        <v>264</v>
      </c>
      <c r="B138" s="183" t="s">
        <v>2</v>
      </c>
      <c r="C138" s="356">
        <v>0.19</v>
      </c>
      <c r="D138" s="235">
        <f>-D137*C138</f>
        <v>-3.4579999999999997</v>
      </c>
      <c r="E138" s="33">
        <f>D138*C137</f>
        <v>-7.2012849999999995</v>
      </c>
      <c r="F138" s="211"/>
    </row>
    <row r="139" spans="1:6" ht="13.5" thickBot="1">
      <c r="A139" s="195"/>
      <c r="B139" s="36"/>
      <c r="C139" s="36"/>
      <c r="D139" s="40"/>
      <c r="E139" s="40"/>
      <c r="F139" s="367">
        <f>SUM(E133:E138)</f>
        <v>170.45889499999998</v>
      </c>
    </row>
    <row r="140" spans="1:6">
      <c r="A140" s="195"/>
      <c r="B140" s="36"/>
      <c r="C140" s="36"/>
      <c r="D140" s="40"/>
      <c r="E140" s="40"/>
      <c r="F140" s="67"/>
    </row>
    <row r="141" spans="1:6" ht="13.5" thickBot="1">
      <c r="A141" s="199" t="s">
        <v>377</v>
      </c>
      <c r="B141" s="36"/>
      <c r="C141" s="36"/>
      <c r="D141" s="40"/>
      <c r="E141" s="40"/>
      <c r="F141" s="211"/>
    </row>
    <row r="142" spans="1:6" ht="13.5" thickBot="1">
      <c r="A142" s="365" t="s">
        <v>51</v>
      </c>
      <c r="B142" s="364" t="s">
        <v>52</v>
      </c>
      <c r="C142" s="364" t="s">
        <v>33</v>
      </c>
      <c r="D142" s="363" t="s">
        <v>184</v>
      </c>
      <c r="E142" s="363" t="s">
        <v>53</v>
      </c>
      <c r="F142" s="362" t="s">
        <v>54</v>
      </c>
    </row>
    <row r="143" spans="1:6">
      <c r="A143" s="210" t="s">
        <v>328</v>
      </c>
      <c r="B143" s="13" t="s">
        <v>10</v>
      </c>
      <c r="C143" s="235">
        <f>D45*B54</f>
        <v>0.5</v>
      </c>
      <c r="D143" s="316">
        <v>90.93</v>
      </c>
      <c r="E143" s="33">
        <f t="shared" ref="E143" si="4">C143*D143</f>
        <v>45.465000000000003</v>
      </c>
      <c r="F143" s="211"/>
    </row>
    <row r="144" spans="1:6">
      <c r="A144" s="206" t="str">
        <f>A146</f>
        <v>Desconto previsto na CCT</v>
      </c>
      <c r="B144" s="183" t="s">
        <v>2</v>
      </c>
      <c r="C144" s="317">
        <v>0.2</v>
      </c>
      <c r="D144" s="33">
        <f>-D143*C144</f>
        <v>-18.186000000000003</v>
      </c>
      <c r="E144" s="235">
        <f>C143*D144</f>
        <v>-9.0930000000000017</v>
      </c>
      <c r="F144" s="211"/>
    </row>
    <row r="145" spans="1:6">
      <c r="A145" s="217" t="s">
        <v>334</v>
      </c>
      <c r="B145" s="13" t="s">
        <v>10</v>
      </c>
      <c r="C145" s="243">
        <f>D46*B55</f>
        <v>8.3299999999999999E-2</v>
      </c>
      <c r="D145" s="295">
        <f>D143</f>
        <v>90.93</v>
      </c>
      <c r="E145" s="33">
        <f t="shared" ref="E145" si="5">C145*D145</f>
        <v>7.5744690000000006</v>
      </c>
      <c r="F145" s="211"/>
    </row>
    <row r="146" spans="1:6" ht="13.5" thickBot="1">
      <c r="A146" s="202" t="str">
        <f>+A138</f>
        <v>Desconto previsto na CCT</v>
      </c>
      <c r="B146" s="183" t="s">
        <v>2</v>
      </c>
      <c r="C146" s="294">
        <f>C144</f>
        <v>0.2</v>
      </c>
      <c r="D146" s="33">
        <f>-D145*C146</f>
        <v>-18.186000000000003</v>
      </c>
      <c r="E146" s="235">
        <f>C145*D146</f>
        <v>-1.5148938000000003</v>
      </c>
      <c r="F146" s="211"/>
    </row>
    <row r="147" spans="1:6" ht="13.5" thickBot="1">
      <c r="A147" s="195"/>
      <c r="B147" s="36"/>
      <c r="C147" s="36"/>
      <c r="D147" s="40"/>
      <c r="E147" s="40"/>
      <c r="F147" s="367">
        <f>SUM(E143:E146)</f>
        <v>42.431575199999997</v>
      </c>
    </row>
    <row r="148" spans="1:6">
      <c r="A148" s="195"/>
      <c r="B148" s="36"/>
      <c r="C148" s="36"/>
      <c r="D148" s="40"/>
      <c r="E148" s="40"/>
      <c r="F148" s="67"/>
    </row>
    <row r="149" spans="1:6" ht="13.5" thickBot="1">
      <c r="A149" s="199" t="s">
        <v>378</v>
      </c>
      <c r="B149" s="36"/>
      <c r="C149" s="36"/>
      <c r="D149" s="40"/>
      <c r="E149" s="40"/>
      <c r="F149" s="211"/>
    </row>
    <row r="150" spans="1:6" ht="13.5" thickBot="1">
      <c r="A150" s="365" t="s">
        <v>51</v>
      </c>
      <c r="B150" s="364" t="s">
        <v>52</v>
      </c>
      <c r="C150" s="364" t="s">
        <v>33</v>
      </c>
      <c r="D150" s="363" t="s">
        <v>184</v>
      </c>
      <c r="E150" s="363" t="s">
        <v>53</v>
      </c>
      <c r="F150" s="362" t="s">
        <v>54</v>
      </c>
    </row>
    <row r="151" spans="1:6">
      <c r="A151" s="296" t="str">
        <f>+A143</f>
        <v>Motorista coleta</v>
      </c>
      <c r="B151" s="13" t="s">
        <v>10</v>
      </c>
      <c r="C151" s="235">
        <f>D45*B54</f>
        <v>0.5</v>
      </c>
      <c r="D151" s="355">
        <v>15.62</v>
      </c>
      <c r="E151" s="33">
        <f>C151*D151</f>
        <v>7.81</v>
      </c>
      <c r="F151" s="211"/>
    </row>
    <row r="152" spans="1:6">
      <c r="A152" s="202" t="str">
        <f>A145</f>
        <v>Motorista higienização</v>
      </c>
      <c r="B152" s="13" t="s">
        <v>10</v>
      </c>
      <c r="C152" s="235">
        <f>D46*B55</f>
        <v>8.3299999999999999E-2</v>
      </c>
      <c r="D152" s="33">
        <f>D151</f>
        <v>15.62</v>
      </c>
      <c r="E152" s="33">
        <f>C152*D152</f>
        <v>1.3011459999999999</v>
      </c>
      <c r="F152" s="211"/>
    </row>
    <row r="153" spans="1:6" ht="13.5" thickBot="1">
      <c r="A153" s="202" t="str">
        <f>A137</f>
        <v>Auxiliar</v>
      </c>
      <c r="B153" s="13" t="s">
        <v>10</v>
      </c>
      <c r="C153" s="235">
        <f>D47*B55</f>
        <v>8.3299999999999999E-2</v>
      </c>
      <c r="D153" s="33">
        <f>D151</f>
        <v>15.62</v>
      </c>
      <c r="E153" s="33">
        <f>C153*D153</f>
        <v>1.3011459999999999</v>
      </c>
      <c r="F153" s="211"/>
    </row>
    <row r="154" spans="1:6" ht="13.5" thickBot="1">
      <c r="A154" s="195"/>
      <c r="B154" s="36"/>
      <c r="C154" s="40"/>
      <c r="D154" s="40"/>
      <c r="E154" s="40"/>
      <c r="F154" s="367">
        <f>SUM(E151:E153)</f>
        <v>10.412291999999999</v>
      </c>
    </row>
    <row r="155" spans="1:6" ht="13.5" thickBot="1">
      <c r="A155" s="195"/>
      <c r="B155" s="36"/>
      <c r="C155" s="36"/>
      <c r="D155" s="40"/>
      <c r="E155" s="40"/>
      <c r="F155" s="67"/>
    </row>
    <row r="156" spans="1:6" ht="13.5" thickBot="1">
      <c r="A156" s="15" t="s">
        <v>75</v>
      </c>
      <c r="B156" s="16"/>
      <c r="C156" s="16"/>
      <c r="D156" s="17"/>
      <c r="E156" s="18"/>
      <c r="F156" s="367">
        <f>SUM(F61:F155)</f>
        <v>3343.8920659402638</v>
      </c>
    </row>
    <row r="157" spans="1:6">
      <c r="A157" s="195"/>
      <c r="B157" s="36"/>
      <c r="C157" s="36"/>
      <c r="D157" s="40"/>
      <c r="E157" s="40"/>
      <c r="F157" s="67"/>
    </row>
    <row r="158" spans="1:6">
      <c r="A158" s="199" t="s">
        <v>36</v>
      </c>
      <c r="B158" s="36"/>
      <c r="C158" s="36"/>
      <c r="D158" s="40"/>
      <c r="E158" s="40"/>
      <c r="F158" s="67"/>
    </row>
    <row r="159" spans="1:6" ht="13.9" customHeight="1" thickBot="1">
      <c r="A159" s="199" t="s">
        <v>282</v>
      </c>
      <c r="B159" s="36"/>
      <c r="C159" s="36"/>
      <c r="D159" s="40"/>
      <c r="E159" s="40"/>
      <c r="F159" s="67"/>
    </row>
    <row r="160" spans="1:6" ht="24.75" thickBot="1">
      <c r="A160" s="365" t="s">
        <v>51</v>
      </c>
      <c r="B160" s="364" t="s">
        <v>52</v>
      </c>
      <c r="C160" s="368" t="s">
        <v>195</v>
      </c>
      <c r="D160" s="363" t="s">
        <v>184</v>
      </c>
      <c r="E160" s="363" t="s">
        <v>53</v>
      </c>
      <c r="F160" s="362" t="s">
        <v>54</v>
      </c>
    </row>
    <row r="161" spans="1:6">
      <c r="A161" s="201" t="s">
        <v>297</v>
      </c>
      <c r="B161" s="10" t="s">
        <v>10</v>
      </c>
      <c r="C161" s="319">
        <f>12/2</f>
        <v>6</v>
      </c>
      <c r="D161" s="313">
        <v>122</v>
      </c>
      <c r="E161" s="11">
        <f>IFERROR(D161/C161,0)</f>
        <v>20.333333333333332</v>
      </c>
      <c r="F161" s="67"/>
    </row>
    <row r="162" spans="1:6">
      <c r="A162" s="217" t="s">
        <v>298</v>
      </c>
      <c r="B162" s="13" t="s">
        <v>10</v>
      </c>
      <c r="C162" s="318">
        <f>12/4</f>
        <v>3</v>
      </c>
      <c r="D162" s="313">
        <v>54</v>
      </c>
      <c r="E162" s="11">
        <f t="shared" ref="E162:E167" si="6">IFERROR(D162/C162,0)</f>
        <v>18</v>
      </c>
      <c r="F162" s="67"/>
    </row>
    <row r="163" spans="1:6">
      <c r="A163" s="217" t="s">
        <v>299</v>
      </c>
      <c r="B163" s="13" t="s">
        <v>10</v>
      </c>
      <c r="C163" s="318">
        <f>12/4</f>
        <v>3</v>
      </c>
      <c r="D163" s="313">
        <v>22.73</v>
      </c>
      <c r="E163" s="11">
        <f t="shared" si="6"/>
        <v>7.5766666666666671</v>
      </c>
      <c r="F163" s="67"/>
    </row>
    <row r="164" spans="1:6">
      <c r="A164" s="217" t="s">
        <v>300</v>
      </c>
      <c r="B164" s="183" t="s">
        <v>52</v>
      </c>
      <c r="C164" s="318">
        <f>12/3</f>
        <v>4</v>
      </c>
      <c r="D164" s="313">
        <v>8.91</v>
      </c>
      <c r="E164" s="11">
        <f t="shared" si="6"/>
        <v>2.2275</v>
      </c>
      <c r="F164" s="67"/>
    </row>
    <row r="165" spans="1:6">
      <c r="A165" s="217" t="s">
        <v>303</v>
      </c>
      <c r="B165" s="13" t="s">
        <v>39</v>
      </c>
      <c r="C165" s="318">
        <f>12/2</f>
        <v>6</v>
      </c>
      <c r="D165" s="313">
        <v>59.9</v>
      </c>
      <c r="E165" s="11">
        <f t="shared" si="6"/>
        <v>9.9833333333333325</v>
      </c>
      <c r="F165" s="67"/>
    </row>
    <row r="166" spans="1:6">
      <c r="A166" s="217" t="s">
        <v>301</v>
      </c>
      <c r="B166" s="13" t="s">
        <v>10</v>
      </c>
      <c r="C166" s="318">
        <f>12/1</f>
        <v>12</v>
      </c>
      <c r="D166" s="313">
        <v>33.909999999999997</v>
      </c>
      <c r="E166" s="11">
        <f t="shared" si="6"/>
        <v>2.8258333333333332</v>
      </c>
      <c r="F166" s="67"/>
    </row>
    <row r="167" spans="1:6">
      <c r="A167" s="217" t="s">
        <v>302</v>
      </c>
      <c r="B167" s="13" t="s">
        <v>40</v>
      </c>
      <c r="C167" s="318">
        <f>12/4</f>
        <v>3</v>
      </c>
      <c r="D167" s="313">
        <v>10.95</v>
      </c>
      <c r="E167" s="11">
        <f t="shared" si="6"/>
        <v>3.65</v>
      </c>
      <c r="F167" s="67"/>
    </row>
    <row r="168" spans="1:6">
      <c r="A168" s="206" t="s">
        <v>160</v>
      </c>
      <c r="B168" s="13" t="s">
        <v>94</v>
      </c>
      <c r="C168" s="59">
        <v>1</v>
      </c>
      <c r="D168" s="313">
        <f>'Lavagem unif.'!J16</f>
        <v>444.09722222222223</v>
      </c>
      <c r="E168" s="14">
        <f t="shared" ref="E168:E170" si="7">C168*D168</f>
        <v>444.09722222222223</v>
      </c>
      <c r="F168" s="67"/>
    </row>
    <row r="169" spans="1:6" ht="13.5" thickBot="1">
      <c r="A169" s="217" t="s">
        <v>329</v>
      </c>
      <c r="B169" s="13" t="s">
        <v>6</v>
      </c>
      <c r="C169" s="297">
        <f>(D45+D46)*B54</f>
        <v>1</v>
      </c>
      <c r="D169" s="54">
        <f>+SUM(E161:E168)</f>
        <v>508.69388888888886</v>
      </c>
      <c r="E169" s="54">
        <f t="shared" si="7"/>
        <v>508.69388888888886</v>
      </c>
      <c r="F169" s="67"/>
    </row>
    <row r="170" spans="1:6" ht="13.5" thickBot="1">
      <c r="A170" s="217" t="s">
        <v>370</v>
      </c>
      <c r="B170" s="13" t="s">
        <v>6</v>
      </c>
      <c r="C170" s="297">
        <f>D46*B55</f>
        <v>8.3299999999999999E-2</v>
      </c>
      <c r="D170" s="54">
        <f>D169</f>
        <v>508.69388888888886</v>
      </c>
      <c r="E170" s="54">
        <f t="shared" si="7"/>
        <v>42.374200944444439</v>
      </c>
      <c r="F170" s="369">
        <f>E169+E170</f>
        <v>551.06808983333326</v>
      </c>
    </row>
    <row r="171" spans="1:6" ht="11.25" customHeight="1">
      <c r="A171" s="195"/>
      <c r="B171" s="36"/>
      <c r="C171" s="36"/>
      <c r="D171" s="36"/>
      <c r="E171" s="40"/>
      <c r="F171" s="67"/>
    </row>
    <row r="172" spans="1:6" ht="13.9" customHeight="1" thickBot="1">
      <c r="A172" s="200" t="s">
        <v>360</v>
      </c>
      <c r="B172" s="36"/>
      <c r="C172" s="36"/>
      <c r="D172" s="40"/>
      <c r="E172" s="40"/>
      <c r="F172" s="67"/>
    </row>
    <row r="173" spans="1:6" ht="24.75" thickBot="1">
      <c r="A173" s="365" t="s">
        <v>51</v>
      </c>
      <c r="B173" s="364" t="s">
        <v>52</v>
      </c>
      <c r="C173" s="368" t="s">
        <v>195</v>
      </c>
      <c r="D173" s="363" t="s">
        <v>184</v>
      </c>
      <c r="E173" s="363" t="s">
        <v>53</v>
      </c>
      <c r="F173" s="362" t="s">
        <v>54</v>
      </c>
    </row>
    <row r="174" spans="1:6" s="4" customFormat="1">
      <c r="A174" s="201" t="s">
        <v>336</v>
      </c>
      <c r="B174" s="184" t="s">
        <v>10</v>
      </c>
      <c r="C174" s="335">
        <f>12/4</f>
        <v>3</v>
      </c>
      <c r="D174" s="336">
        <f>D161</f>
        <v>122</v>
      </c>
      <c r="E174" s="337">
        <f>IFERROR(D174/C174,0)</f>
        <v>40.666666666666664</v>
      </c>
      <c r="F174" s="239"/>
    </row>
    <row r="175" spans="1:6" s="4" customFormat="1">
      <c r="A175" s="217" t="s">
        <v>337</v>
      </c>
      <c r="B175" s="183" t="s">
        <v>10</v>
      </c>
      <c r="C175" s="338">
        <f>12/8</f>
        <v>1.5</v>
      </c>
      <c r="D175" s="336">
        <f>D162</f>
        <v>54</v>
      </c>
      <c r="E175" s="337">
        <f t="shared" ref="E175:E183" si="8">IFERROR(D175/C175,0)</f>
        <v>36</v>
      </c>
      <c r="F175" s="239"/>
    </row>
    <row r="176" spans="1:6" s="4" customFormat="1">
      <c r="A176" s="217" t="s">
        <v>338</v>
      </c>
      <c r="B176" s="183" t="s">
        <v>10</v>
      </c>
      <c r="C176" s="338">
        <f>12/8</f>
        <v>1.5</v>
      </c>
      <c r="D176" s="336">
        <f>D163</f>
        <v>22.73</v>
      </c>
      <c r="E176" s="337">
        <f t="shared" si="8"/>
        <v>15.153333333333334</v>
      </c>
      <c r="F176" s="239"/>
    </row>
    <row r="177" spans="1:6" s="4" customFormat="1">
      <c r="A177" s="217" t="s">
        <v>342</v>
      </c>
      <c r="B177" s="183" t="s">
        <v>52</v>
      </c>
      <c r="C177" s="338">
        <f>12/2</f>
        <v>6</v>
      </c>
      <c r="D177" s="336">
        <f>D164</f>
        <v>8.91</v>
      </c>
      <c r="E177" s="337">
        <f>IFERROR(D177/C177,0)</f>
        <v>1.4850000000000001</v>
      </c>
      <c r="F177" s="239"/>
    </row>
    <row r="178" spans="1:6" s="4" customFormat="1">
      <c r="A178" s="217" t="s">
        <v>339</v>
      </c>
      <c r="B178" s="183" t="s">
        <v>39</v>
      </c>
      <c r="C178" s="338">
        <f>12/6</f>
        <v>2</v>
      </c>
      <c r="D178" s="336">
        <f>D165</f>
        <v>59.9</v>
      </c>
      <c r="E178" s="337">
        <f t="shared" si="8"/>
        <v>29.95</v>
      </c>
      <c r="F178" s="239"/>
    </row>
    <row r="179" spans="1:6" s="4" customFormat="1">
      <c r="A179" s="217" t="s">
        <v>340</v>
      </c>
      <c r="B179" s="183" t="s">
        <v>39</v>
      </c>
      <c r="C179" s="338">
        <f>12/8</f>
        <v>1.5</v>
      </c>
      <c r="D179" s="329">
        <v>3.99</v>
      </c>
      <c r="E179" s="337">
        <f t="shared" si="8"/>
        <v>2.66</v>
      </c>
      <c r="F179" s="239"/>
    </row>
    <row r="180" spans="1:6" s="4" customFormat="1">
      <c r="A180" s="217" t="s">
        <v>341</v>
      </c>
      <c r="B180" s="183" t="s">
        <v>10</v>
      </c>
      <c r="C180" s="338">
        <f>12/1</f>
        <v>12</v>
      </c>
      <c r="D180" s="336">
        <f>D166</f>
        <v>33.909999999999997</v>
      </c>
      <c r="E180" s="337">
        <f t="shared" si="8"/>
        <v>2.8258333333333332</v>
      </c>
      <c r="F180" s="239"/>
    </row>
    <row r="181" spans="1:6" s="4" customFormat="1">
      <c r="A181" s="217" t="s">
        <v>343</v>
      </c>
      <c r="B181" s="183" t="s">
        <v>10</v>
      </c>
      <c r="C181" s="338">
        <f>12/4</f>
        <v>3</v>
      </c>
      <c r="D181" s="329">
        <v>20.55</v>
      </c>
      <c r="E181" s="337">
        <f t="shared" si="8"/>
        <v>6.8500000000000005</v>
      </c>
      <c r="F181" s="239"/>
    </row>
    <row r="182" spans="1:6" s="4" customFormat="1">
      <c r="A182" s="217" t="s">
        <v>344</v>
      </c>
      <c r="B182" s="183" t="s">
        <v>39</v>
      </c>
      <c r="C182" s="338">
        <f>12/8</f>
        <v>1.5</v>
      </c>
      <c r="D182" s="329">
        <v>7.41</v>
      </c>
      <c r="E182" s="337">
        <f t="shared" si="8"/>
        <v>4.9400000000000004</v>
      </c>
      <c r="F182" s="239"/>
    </row>
    <row r="183" spans="1:6" s="4" customFormat="1">
      <c r="A183" s="217" t="s">
        <v>345</v>
      </c>
      <c r="B183" s="183" t="s">
        <v>40</v>
      </c>
      <c r="C183" s="338">
        <f>12/4</f>
        <v>3</v>
      </c>
      <c r="D183" s="336">
        <f>D167</f>
        <v>10.95</v>
      </c>
      <c r="E183" s="337">
        <f t="shared" si="8"/>
        <v>3.65</v>
      </c>
      <c r="F183" s="239"/>
    </row>
    <row r="184" spans="1:6" s="4" customFormat="1" ht="13.5" thickBot="1">
      <c r="A184" s="217" t="s">
        <v>160</v>
      </c>
      <c r="B184" s="339" t="s">
        <v>94</v>
      </c>
      <c r="C184" s="340">
        <v>1</v>
      </c>
      <c r="D184" s="329">
        <f>'Lavagem unif.'!J8</f>
        <v>492.70833333333331</v>
      </c>
      <c r="E184" s="241">
        <f t="shared" ref="E184:E185" si="9">C184*D184</f>
        <v>492.70833333333331</v>
      </c>
      <c r="F184" s="239"/>
    </row>
    <row r="185" spans="1:6" s="4" customFormat="1" ht="13.5" thickBot="1">
      <c r="A185" s="217" t="s">
        <v>5</v>
      </c>
      <c r="B185" s="183" t="s">
        <v>6</v>
      </c>
      <c r="C185" s="379">
        <f>C170</f>
        <v>8.3299999999999999E-2</v>
      </c>
      <c r="D185" s="54">
        <f>+SUM(E174:E184)</f>
        <v>636.8891666666666</v>
      </c>
      <c r="E185" s="54">
        <f t="shared" si="9"/>
        <v>53.052867583333324</v>
      </c>
      <c r="F185" s="369">
        <f>E185</f>
        <v>53.052867583333324</v>
      </c>
    </row>
    <row r="186" spans="1:6">
      <c r="A186" s="195"/>
      <c r="B186" s="36"/>
      <c r="C186" s="414"/>
      <c r="D186" s="415"/>
      <c r="E186" s="40"/>
      <c r="F186" s="239"/>
    </row>
    <row r="187" spans="1:6" ht="11.25" customHeight="1" thickBot="1">
      <c r="A187" s="195"/>
      <c r="B187" s="36"/>
      <c r="C187" s="36"/>
      <c r="D187" s="36"/>
      <c r="E187" s="40"/>
      <c r="F187" s="67"/>
    </row>
    <row r="188" spans="1:6" ht="13.5" thickBot="1">
      <c r="A188" s="15" t="s">
        <v>161</v>
      </c>
      <c r="B188" s="19"/>
      <c r="C188" s="19"/>
      <c r="D188" s="20"/>
      <c r="E188" s="21"/>
      <c r="F188" s="369">
        <f>SUM(F161:F187)</f>
        <v>604.12095741666656</v>
      </c>
    </row>
    <row r="189" spans="1:6" ht="11.25" customHeight="1">
      <c r="A189" s="195"/>
      <c r="B189" s="36"/>
      <c r="C189" s="36"/>
      <c r="D189" s="40"/>
      <c r="E189" s="40"/>
      <c r="F189" s="67"/>
    </row>
    <row r="190" spans="1:6">
      <c r="A190" s="199" t="s">
        <v>45</v>
      </c>
      <c r="B190" s="36"/>
      <c r="C190" s="36"/>
      <c r="D190" s="40"/>
      <c r="E190" s="40"/>
      <c r="F190" s="67"/>
    </row>
    <row r="191" spans="1:6">
      <c r="A191" s="391" t="s">
        <v>371</v>
      </c>
      <c r="B191" s="36"/>
      <c r="C191" s="36"/>
      <c r="D191" s="40"/>
      <c r="E191" s="40"/>
      <c r="F191" s="67"/>
    </row>
    <row r="192" spans="1:6" ht="13.5" thickBot="1">
      <c r="A192" s="213" t="s">
        <v>37</v>
      </c>
      <c r="B192" s="36"/>
      <c r="C192" s="36"/>
      <c r="D192" s="40"/>
      <c r="E192" s="40"/>
      <c r="F192" s="67"/>
    </row>
    <row r="193" spans="1:6" ht="13.5" thickBot="1">
      <c r="A193" s="365" t="s">
        <v>51</v>
      </c>
      <c r="B193" s="364" t="s">
        <v>52</v>
      </c>
      <c r="C193" s="364" t="s">
        <v>33</v>
      </c>
      <c r="D193" s="363" t="s">
        <v>184</v>
      </c>
      <c r="E193" s="363" t="s">
        <v>53</v>
      </c>
      <c r="F193" s="362" t="s">
        <v>54</v>
      </c>
    </row>
    <row r="194" spans="1:6">
      <c r="A194" s="212" t="s">
        <v>83</v>
      </c>
      <c r="B194" s="10" t="s">
        <v>10</v>
      </c>
      <c r="C194" s="158">
        <v>1</v>
      </c>
      <c r="D194" s="313">
        <v>333000</v>
      </c>
      <c r="E194" s="11">
        <f>C194*D194</f>
        <v>333000</v>
      </c>
      <c r="F194" s="67"/>
    </row>
    <row r="195" spans="1:6">
      <c r="A195" s="206" t="s">
        <v>80</v>
      </c>
      <c r="B195" s="13" t="s">
        <v>81</v>
      </c>
      <c r="C195" s="312">
        <v>10</v>
      </c>
      <c r="D195" s="51"/>
      <c r="E195" s="14"/>
      <c r="F195" s="67"/>
    </row>
    <row r="196" spans="1:6">
      <c r="A196" s="206" t="s">
        <v>166</v>
      </c>
      <c r="B196" s="13" t="s">
        <v>81</v>
      </c>
      <c r="C196" s="312">
        <v>0</v>
      </c>
      <c r="D196" s="14"/>
      <c r="E196" s="14"/>
      <c r="F196" s="214"/>
    </row>
    <row r="197" spans="1:6">
      <c r="A197" s="206" t="s">
        <v>82</v>
      </c>
      <c r="B197" s="13" t="s">
        <v>2</v>
      </c>
      <c r="C197" s="70">
        <f>IFERROR(VLOOKUP(C195,'5. Depreciação'!A3:B17,2,FALSE),0)</f>
        <v>65</v>
      </c>
      <c r="D197" s="14">
        <f>E194</f>
        <v>333000</v>
      </c>
      <c r="E197" s="14">
        <f>C197*D197/100</f>
        <v>216450</v>
      </c>
      <c r="F197" s="67"/>
    </row>
    <row r="198" spans="1:6" ht="13.5" thickBot="1">
      <c r="A198" s="215" t="s">
        <v>41</v>
      </c>
      <c r="B198" s="161" t="s">
        <v>8</v>
      </c>
      <c r="C198" s="161">
        <f>C195*12</f>
        <v>120</v>
      </c>
      <c r="D198" s="162">
        <f>IF(C196&lt;=C195,E197,0)</f>
        <v>216450</v>
      </c>
      <c r="E198" s="162">
        <f>IFERROR(D198/C198,0)</f>
        <v>1803.75</v>
      </c>
      <c r="F198" s="67"/>
    </row>
    <row r="199" spans="1:6" ht="13.5" thickTop="1">
      <c r="A199" s="216" t="s">
        <v>322</v>
      </c>
      <c r="B199" s="10" t="s">
        <v>10</v>
      </c>
      <c r="C199" s="10">
        <f>C194</f>
        <v>1</v>
      </c>
      <c r="D199" s="313">
        <v>824000</v>
      </c>
      <c r="E199" s="11">
        <f>C199*D199</f>
        <v>824000</v>
      </c>
      <c r="F199" s="67"/>
    </row>
    <row r="200" spans="1:6">
      <c r="A200" s="217" t="s">
        <v>224</v>
      </c>
      <c r="B200" s="13" t="s">
        <v>81</v>
      </c>
      <c r="C200" s="312">
        <v>10</v>
      </c>
      <c r="D200" s="14"/>
      <c r="E200" s="14"/>
      <c r="F200" s="67"/>
    </row>
    <row r="201" spans="1:6">
      <c r="A201" s="217" t="s">
        <v>225</v>
      </c>
      <c r="B201" s="13" t="s">
        <v>81</v>
      </c>
      <c r="C201" s="312">
        <v>0</v>
      </c>
      <c r="D201" s="14"/>
      <c r="E201" s="14"/>
      <c r="F201" s="214"/>
    </row>
    <row r="202" spans="1:6">
      <c r="A202" s="217" t="s">
        <v>226</v>
      </c>
      <c r="B202" s="13" t="s">
        <v>2</v>
      </c>
      <c r="C202" s="71">
        <f>IFERROR(VLOOKUP(C200,'5. Depreciação'!A$3:B$17,2,FALSE),0)</f>
        <v>65</v>
      </c>
      <c r="D202" s="14">
        <f>E199</f>
        <v>824000</v>
      </c>
      <c r="E202" s="14">
        <f>C202*D202/100</f>
        <v>535600</v>
      </c>
      <c r="F202" s="67"/>
    </row>
    <row r="203" spans="1:6">
      <c r="A203" s="218" t="s">
        <v>227</v>
      </c>
      <c r="B203" s="53" t="s">
        <v>8</v>
      </c>
      <c r="C203" s="53">
        <f>C200*12</f>
        <v>120</v>
      </c>
      <c r="D203" s="54">
        <f>IF(C201&lt;=C200,E202,0)</f>
        <v>535600</v>
      </c>
      <c r="E203" s="54">
        <f>IFERROR(D203/C203,0)</f>
        <v>4463.333333333333</v>
      </c>
      <c r="F203" s="67"/>
    </row>
    <row r="204" spans="1:6">
      <c r="A204" s="207" t="s">
        <v>236</v>
      </c>
      <c r="B204" s="151"/>
      <c r="C204" s="151"/>
      <c r="D204" s="152"/>
      <c r="E204" s="54">
        <f>E198+E203</f>
        <v>6267.083333333333</v>
      </c>
      <c r="F204" s="67"/>
    </row>
    <row r="205" spans="1:6" ht="13.5" thickBot="1">
      <c r="A205" s="207" t="s">
        <v>198</v>
      </c>
      <c r="B205" s="53" t="s">
        <v>10</v>
      </c>
      <c r="C205" s="59">
        <f>E51</f>
        <v>1</v>
      </c>
      <c r="D205" s="54">
        <f>E204</f>
        <v>6267.083333333333</v>
      </c>
      <c r="E205" s="58">
        <f>C205*D205</f>
        <v>6267.083333333333</v>
      </c>
      <c r="F205" s="67"/>
    </row>
    <row r="206" spans="1:6" ht="13.5" thickBot="1">
      <c r="A206" s="219"/>
      <c r="B206" s="157"/>
      <c r="C206" s="414" t="s">
        <v>159</v>
      </c>
      <c r="D206" s="419"/>
      <c r="E206" s="396">
        <f>$B$54</f>
        <v>0.5</v>
      </c>
      <c r="F206" s="369">
        <f>E205*E206</f>
        <v>3133.5416666666665</v>
      </c>
    </row>
    <row r="207" spans="1:6" ht="13.5" thickBot="1">
      <c r="A207" s="213" t="s">
        <v>87</v>
      </c>
      <c r="B207" s="36"/>
      <c r="C207" s="36"/>
      <c r="D207" s="40"/>
      <c r="E207" s="40"/>
      <c r="F207" s="67"/>
    </row>
    <row r="208" spans="1:6" ht="13.5" thickBot="1">
      <c r="A208" s="365" t="s">
        <v>51</v>
      </c>
      <c r="B208" s="364" t="s">
        <v>52</v>
      </c>
      <c r="C208" s="364" t="s">
        <v>33</v>
      </c>
      <c r="D208" s="363" t="s">
        <v>184</v>
      </c>
      <c r="E208" s="363" t="s">
        <v>53</v>
      </c>
      <c r="F208" s="362" t="s">
        <v>54</v>
      </c>
    </row>
    <row r="209" spans="1:6">
      <c r="A209" s="212" t="s">
        <v>86</v>
      </c>
      <c r="B209" s="10" t="s">
        <v>10</v>
      </c>
      <c r="C209" s="158">
        <v>1</v>
      </c>
      <c r="D209" s="11">
        <f>D194</f>
        <v>333000</v>
      </c>
      <c r="E209" s="11">
        <f>C209*D209</f>
        <v>333000</v>
      </c>
      <c r="F209" s="214"/>
    </row>
    <row r="210" spans="1:6">
      <c r="A210" s="206" t="s">
        <v>168</v>
      </c>
      <c r="B210" s="13" t="s">
        <v>2</v>
      </c>
      <c r="C210" s="310">
        <v>4.25</v>
      </c>
      <c r="D210" s="14"/>
      <c r="E210" s="14"/>
      <c r="F210" s="214"/>
    </row>
    <row r="211" spans="1:6">
      <c r="A211" s="206" t="s">
        <v>167</v>
      </c>
      <c r="B211" s="13" t="s">
        <v>27</v>
      </c>
      <c r="C211" s="75">
        <f>IFERROR(IF(C196&lt;=C195,E194-(C197/(100*C195)*C196)*E194,E194-E197),0)</f>
        <v>333000</v>
      </c>
      <c r="D211" s="14"/>
      <c r="E211" s="14"/>
      <c r="F211" s="214"/>
    </row>
    <row r="212" spans="1:6">
      <c r="A212" s="206" t="s">
        <v>89</v>
      </c>
      <c r="B212" s="13" t="s">
        <v>27</v>
      </c>
      <c r="C212" s="51">
        <f>IFERROR(IF(C196&gt;=C195,C211,((((C211)-(E194-E197))*(((C195-C196)+1)/(2*(C195-C196))))+(E194-E197))),0)</f>
        <v>235597.5</v>
      </c>
      <c r="D212" s="14"/>
      <c r="E212" s="14"/>
      <c r="F212" s="214"/>
    </row>
    <row r="213" spans="1:6" ht="13.5" thickBot="1">
      <c r="A213" s="215" t="s">
        <v>90</v>
      </c>
      <c r="B213" s="161" t="s">
        <v>27</v>
      </c>
      <c r="C213" s="161"/>
      <c r="D213" s="163">
        <f>C210*C212/12/100</f>
        <v>834.40781249999998</v>
      </c>
      <c r="E213" s="162">
        <f>D213</f>
        <v>834.40781249999998</v>
      </c>
      <c r="F213" s="214"/>
    </row>
    <row r="214" spans="1:6" ht="13.5" thickTop="1">
      <c r="A214" s="201" t="s">
        <v>228</v>
      </c>
      <c r="B214" s="10" t="s">
        <v>10</v>
      </c>
      <c r="C214" s="10">
        <f>C199</f>
        <v>1</v>
      </c>
      <c r="D214" s="11">
        <f>D199</f>
        <v>824000</v>
      </c>
      <c r="E214" s="11">
        <f>C214*D214</f>
        <v>824000</v>
      </c>
      <c r="F214" s="214"/>
    </row>
    <row r="215" spans="1:6">
      <c r="A215" s="206" t="s">
        <v>168</v>
      </c>
      <c r="B215" s="13" t="s">
        <v>2</v>
      </c>
      <c r="C215" s="159">
        <f>C210</f>
        <v>4.25</v>
      </c>
      <c r="D215" s="14"/>
      <c r="E215" s="14"/>
      <c r="F215" s="214"/>
    </row>
    <row r="216" spans="1:6">
      <c r="A216" s="210" t="s">
        <v>246</v>
      </c>
      <c r="B216" s="13" t="s">
        <v>27</v>
      </c>
      <c r="C216" s="75">
        <f>IFERROR(IF(C201&lt;=C200,E199-(C202/(100*C200)*C201)*E199,E199-E202),0)</f>
        <v>824000</v>
      </c>
      <c r="D216" s="14"/>
      <c r="E216" s="14"/>
      <c r="F216" s="214"/>
    </row>
    <row r="217" spans="1:6" ht="25.5">
      <c r="A217" s="220" t="s">
        <v>247</v>
      </c>
      <c r="B217" s="13" t="s">
        <v>27</v>
      </c>
      <c r="C217" s="51">
        <f>IFERROR(IF(C201&gt;=C200,C216,((((C216)-(E199-E202))*(((C200-C201)+1)/(2*(C200-C201))))+(E199-E202))),0)</f>
        <v>582980</v>
      </c>
      <c r="D217" s="14"/>
      <c r="E217" s="14"/>
      <c r="F217" s="214"/>
    </row>
    <row r="218" spans="1:6" ht="25.5">
      <c r="A218" s="221" t="s">
        <v>248</v>
      </c>
      <c r="B218" s="53" t="s">
        <v>27</v>
      </c>
      <c r="C218" s="53"/>
      <c r="D218" s="57">
        <f>C215*C217/12/100</f>
        <v>2064.7208333333333</v>
      </c>
      <c r="E218" s="54">
        <f>D218</f>
        <v>2064.7208333333333</v>
      </c>
      <c r="F218" s="214"/>
    </row>
    <row r="219" spans="1:6">
      <c r="A219" s="209" t="s">
        <v>249</v>
      </c>
      <c r="B219" s="191"/>
      <c r="C219" s="191"/>
      <c r="D219" s="22"/>
      <c r="E219" s="58">
        <f>E213+E218</f>
        <v>2899.1286458333334</v>
      </c>
      <c r="F219" s="214"/>
    </row>
    <row r="220" spans="1:6" ht="13.5" thickBot="1">
      <c r="A220" s="207" t="s">
        <v>198</v>
      </c>
      <c r="B220" s="53" t="s">
        <v>10</v>
      </c>
      <c r="C220" s="159">
        <f>C205</f>
        <v>1</v>
      </c>
      <c r="D220" s="54">
        <f>E219</f>
        <v>2899.1286458333334</v>
      </c>
      <c r="E220" s="58">
        <f>C220*D220</f>
        <v>2899.1286458333334</v>
      </c>
      <c r="F220" s="214"/>
    </row>
    <row r="221" spans="1:6" ht="13.5" thickBot="1">
      <c r="A221" s="195"/>
      <c r="B221" s="36"/>
      <c r="C221" s="414" t="s">
        <v>159</v>
      </c>
      <c r="D221" s="419"/>
      <c r="E221" s="396">
        <f>$B$54</f>
        <v>0.5</v>
      </c>
      <c r="F221" s="369">
        <f>E220*E221</f>
        <v>1449.5643229166667</v>
      </c>
    </row>
    <row r="222" spans="1:6" ht="11.25" customHeight="1">
      <c r="A222" s="195"/>
      <c r="B222" s="36"/>
      <c r="C222" s="36"/>
      <c r="D222" s="40"/>
      <c r="E222" s="40"/>
      <c r="F222" s="67"/>
    </row>
    <row r="223" spans="1:6" ht="13.5" thickBot="1">
      <c r="A223" s="199" t="s">
        <v>42</v>
      </c>
      <c r="B223" s="36"/>
      <c r="C223" s="36"/>
      <c r="D223" s="40"/>
      <c r="E223" s="40"/>
      <c r="F223" s="67"/>
    </row>
    <row r="224" spans="1:6" ht="13.5" thickBot="1">
      <c r="A224" s="365" t="s">
        <v>51</v>
      </c>
      <c r="B224" s="364" t="s">
        <v>52</v>
      </c>
      <c r="C224" s="364" t="s">
        <v>33</v>
      </c>
      <c r="D224" s="363" t="s">
        <v>184</v>
      </c>
      <c r="E224" s="363" t="s">
        <v>53</v>
      </c>
      <c r="F224" s="362" t="s">
        <v>54</v>
      </c>
    </row>
    <row r="225" spans="1:6">
      <c r="A225" s="212" t="s">
        <v>11</v>
      </c>
      <c r="B225" s="10" t="s">
        <v>10</v>
      </c>
      <c r="C225" s="11">
        <f>C205</f>
        <v>1</v>
      </c>
      <c r="D225" s="313">
        <v>3330</v>
      </c>
      <c r="E225" s="11">
        <f>C225*D225</f>
        <v>3330</v>
      </c>
      <c r="F225" s="67"/>
    </row>
    <row r="226" spans="1:6">
      <c r="A226" s="210" t="s">
        <v>352</v>
      </c>
      <c r="B226" s="13" t="s">
        <v>10</v>
      </c>
      <c r="C226" s="11">
        <f>C205</f>
        <v>1</v>
      </c>
      <c r="D226" s="328">
        <v>66.7</v>
      </c>
      <c r="E226" s="14">
        <f>C226*D226</f>
        <v>66.7</v>
      </c>
      <c r="F226" s="67"/>
    </row>
    <row r="227" spans="1:6">
      <c r="A227" s="206" t="s">
        <v>12</v>
      </c>
      <c r="B227" s="13" t="s">
        <v>10</v>
      </c>
      <c r="C227" s="11">
        <f>C205</f>
        <v>1</v>
      </c>
      <c r="D227" s="328">
        <v>1500</v>
      </c>
      <c r="E227" s="14">
        <f>C227*D227</f>
        <v>1500</v>
      </c>
      <c r="F227" s="222"/>
    </row>
    <row r="228" spans="1:6" ht="13.5" thickBot="1">
      <c r="A228" s="207" t="s">
        <v>13</v>
      </c>
      <c r="B228" s="53" t="s">
        <v>8</v>
      </c>
      <c r="C228" s="53">
        <v>12</v>
      </c>
      <c r="D228" s="54">
        <f>SUM(E225:E227)</f>
        <v>4896.7</v>
      </c>
      <c r="E228" s="54">
        <f>D228/C228</f>
        <v>408.05833333333334</v>
      </c>
      <c r="F228" s="67"/>
    </row>
    <row r="229" spans="1:6" ht="13.5" thickBot="1">
      <c r="A229" s="195"/>
      <c r="B229" s="36"/>
      <c r="C229" s="414" t="s">
        <v>159</v>
      </c>
      <c r="D229" s="419"/>
      <c r="E229" s="396">
        <f>$B$54</f>
        <v>0.5</v>
      </c>
      <c r="F229" s="366">
        <f>E228*E229</f>
        <v>204.02916666666667</v>
      </c>
    </row>
    <row r="230" spans="1:6" ht="11.25" customHeight="1">
      <c r="A230" s="195"/>
      <c r="B230" s="36"/>
      <c r="C230" s="36"/>
      <c r="D230" s="40"/>
      <c r="E230" s="40"/>
      <c r="F230" s="67"/>
    </row>
    <row r="231" spans="1:6">
      <c r="A231" s="199" t="s">
        <v>43</v>
      </c>
      <c r="B231" s="193"/>
      <c r="C231" s="36"/>
      <c r="D231" s="40"/>
      <c r="E231" s="40"/>
      <c r="F231" s="67"/>
    </row>
    <row r="232" spans="1:6" ht="13.5" thickBot="1">
      <c r="A232" s="218" t="s">
        <v>251</v>
      </c>
      <c r="B232" s="377">
        <v>1704</v>
      </c>
      <c r="C232" s="36"/>
      <c r="D232" s="40"/>
      <c r="E232" s="40"/>
      <c r="F232" s="67"/>
    </row>
    <row r="233" spans="1:6" ht="13.5" thickBot="1">
      <c r="A233" s="365" t="s">
        <v>51</v>
      </c>
      <c r="B233" s="364" t="s">
        <v>52</v>
      </c>
      <c r="C233" s="364" t="s">
        <v>197</v>
      </c>
      <c r="D233" s="363" t="s">
        <v>184</v>
      </c>
      <c r="E233" s="363" t="s">
        <v>53</v>
      </c>
      <c r="F233" s="362" t="s">
        <v>54</v>
      </c>
    </row>
    <row r="234" spans="1:6">
      <c r="A234" s="212" t="s">
        <v>14</v>
      </c>
      <c r="B234" s="10" t="s">
        <v>15</v>
      </c>
      <c r="C234" s="322">
        <v>2.93</v>
      </c>
      <c r="D234" s="323">
        <v>4.4800000000000004</v>
      </c>
      <c r="E234" s="11"/>
      <c r="F234" s="390"/>
    </row>
    <row r="235" spans="1:6">
      <c r="A235" s="206" t="s">
        <v>16</v>
      </c>
      <c r="B235" s="13" t="s">
        <v>17</v>
      </c>
      <c r="C235" s="52">
        <f>B232</f>
        <v>1704</v>
      </c>
      <c r="D235" s="156">
        <f>IFERROR(+D234/C234,"-")</f>
        <v>1.5290102389078499</v>
      </c>
      <c r="E235" s="14">
        <f>IFERROR(C235*D235,"-")</f>
        <v>2605.4334470989761</v>
      </c>
      <c r="F235" s="67"/>
    </row>
    <row r="236" spans="1:6">
      <c r="A236" s="210" t="s">
        <v>265</v>
      </c>
      <c r="B236" s="183" t="s">
        <v>15</v>
      </c>
      <c r="C236" s="322">
        <v>90</v>
      </c>
      <c r="D236" s="323">
        <v>4</v>
      </c>
      <c r="E236" s="14"/>
      <c r="F236" s="67"/>
    </row>
    <row r="237" spans="1:6">
      <c r="A237" s="210" t="s">
        <v>346</v>
      </c>
      <c r="B237" s="183" t="s">
        <v>347</v>
      </c>
      <c r="C237" s="343">
        <f>C235</f>
        <v>1704</v>
      </c>
      <c r="D237" s="344">
        <f>IFERROR(+D236/C236,"-")</f>
        <v>4.4444444444444446E-2</v>
      </c>
      <c r="E237" s="241">
        <f>IFERROR(C237*D237,"-")</f>
        <v>75.733333333333334</v>
      </c>
      <c r="F237" s="67"/>
    </row>
    <row r="238" spans="1:6">
      <c r="A238" s="206" t="s">
        <v>185</v>
      </c>
      <c r="B238" s="13" t="s">
        <v>18</v>
      </c>
      <c r="C238" s="319">
        <v>6</v>
      </c>
      <c r="D238" s="328">
        <v>17.45</v>
      </c>
      <c r="E238" s="14"/>
      <c r="F238" s="67"/>
    </row>
    <row r="239" spans="1:6">
      <c r="A239" s="206" t="s">
        <v>19</v>
      </c>
      <c r="B239" s="13" t="s">
        <v>17</v>
      </c>
      <c r="C239" s="52">
        <f>C235</f>
        <v>1704</v>
      </c>
      <c r="D239" s="341">
        <f>+C238*D238/1000</f>
        <v>0.10469999999999999</v>
      </c>
      <c r="E239" s="14">
        <f>C239*D239</f>
        <v>178.40879999999999</v>
      </c>
      <c r="F239" s="67"/>
    </row>
    <row r="240" spans="1:6">
      <c r="A240" s="206" t="s">
        <v>186</v>
      </c>
      <c r="B240" s="13" t="s">
        <v>18</v>
      </c>
      <c r="C240" s="319">
        <v>1</v>
      </c>
      <c r="D240" s="328">
        <v>15.48</v>
      </c>
      <c r="E240" s="14"/>
      <c r="F240" s="67"/>
    </row>
    <row r="241" spans="1:6">
      <c r="A241" s="206" t="s">
        <v>20</v>
      </c>
      <c r="B241" s="13" t="s">
        <v>17</v>
      </c>
      <c r="C241" s="52">
        <f>C235</f>
        <v>1704</v>
      </c>
      <c r="D241" s="341">
        <f>+C240*D240/1000</f>
        <v>1.5480000000000001E-2</v>
      </c>
      <c r="E241" s="14">
        <f>C241*D241</f>
        <v>26.37792</v>
      </c>
      <c r="F241" s="67"/>
    </row>
    <row r="242" spans="1:6">
      <c r="A242" s="206" t="s">
        <v>187</v>
      </c>
      <c r="B242" s="13" t="s">
        <v>18</v>
      </c>
      <c r="C242" s="319">
        <v>5</v>
      </c>
      <c r="D242" s="328">
        <v>13.2</v>
      </c>
      <c r="E242" s="14"/>
      <c r="F242" s="67"/>
    </row>
    <row r="243" spans="1:6">
      <c r="A243" s="206" t="s">
        <v>21</v>
      </c>
      <c r="B243" s="13" t="s">
        <v>17</v>
      </c>
      <c r="C243" s="52">
        <f>C235</f>
        <v>1704</v>
      </c>
      <c r="D243" s="341">
        <f>+C242*D242/1000</f>
        <v>6.6000000000000003E-2</v>
      </c>
      <c r="E243" s="14">
        <f>C243*D243</f>
        <v>112.464</v>
      </c>
      <c r="F243" s="67"/>
    </row>
    <row r="244" spans="1:6">
      <c r="A244" s="206" t="s">
        <v>22</v>
      </c>
      <c r="B244" s="13" t="s">
        <v>23</v>
      </c>
      <c r="C244" s="319">
        <v>2</v>
      </c>
      <c r="D244" s="328">
        <v>12.25</v>
      </c>
      <c r="E244" s="14"/>
      <c r="F244" s="67"/>
    </row>
    <row r="245" spans="1:6">
      <c r="A245" s="206" t="s">
        <v>24</v>
      </c>
      <c r="B245" s="13" t="s">
        <v>17</v>
      </c>
      <c r="C245" s="52">
        <f>C235</f>
        <v>1704</v>
      </c>
      <c r="D245" s="341">
        <f>+C244*D244/1000</f>
        <v>2.4500000000000001E-2</v>
      </c>
      <c r="E245" s="14">
        <f>C245*D245</f>
        <v>41.748000000000005</v>
      </c>
      <c r="F245" s="67"/>
    </row>
    <row r="246" spans="1:6" ht="13.5" thickBot="1">
      <c r="A246" s="207" t="s">
        <v>196</v>
      </c>
      <c r="B246" s="53" t="s">
        <v>92</v>
      </c>
      <c r="C246" s="154"/>
      <c r="D246" s="155">
        <f>IFERROR(D235+D237+D239+D241+D243+D245,0)</f>
        <v>1.7841346833522944</v>
      </c>
      <c r="E246" s="14"/>
      <c r="F246" s="67"/>
    </row>
    <row r="247" spans="1:6" ht="13.5" thickBot="1">
      <c r="A247" s="195"/>
      <c r="B247" s="36"/>
      <c r="C247" s="36"/>
      <c r="D247" s="40"/>
      <c r="E247" s="40"/>
      <c r="F247" s="369">
        <f>SUM(E234:E245)</f>
        <v>3040.1655004323093</v>
      </c>
    </row>
    <row r="248" spans="1:6" ht="11.25" customHeight="1">
      <c r="A248" s="195"/>
      <c r="B248" s="36"/>
      <c r="C248" s="36"/>
      <c r="D248" s="342"/>
      <c r="E248" s="40"/>
      <c r="F248" s="67"/>
    </row>
    <row r="249" spans="1:6" ht="13.5" thickBot="1">
      <c r="A249" s="199" t="s">
        <v>44</v>
      </c>
      <c r="B249" s="36"/>
      <c r="C249" s="36"/>
      <c r="D249" s="40"/>
      <c r="E249" s="40"/>
      <c r="F249" s="67"/>
    </row>
    <row r="250" spans="1:6" ht="13.5" thickBot="1">
      <c r="A250" s="365" t="s">
        <v>51</v>
      </c>
      <c r="B250" s="364" t="s">
        <v>52</v>
      </c>
      <c r="C250" s="364" t="s">
        <v>33</v>
      </c>
      <c r="D250" s="363" t="s">
        <v>184</v>
      </c>
      <c r="E250" s="363" t="s">
        <v>53</v>
      </c>
      <c r="F250" s="362" t="s">
        <v>54</v>
      </c>
    </row>
    <row r="251" spans="1:6">
      <c r="A251" s="212" t="s">
        <v>91</v>
      </c>
      <c r="B251" s="10" t="s">
        <v>92</v>
      </c>
      <c r="C251" s="52">
        <f>C235</f>
        <v>1704</v>
      </c>
      <c r="D251" s="313">
        <v>0.75</v>
      </c>
      <c r="E251" s="11">
        <f>C251*D251</f>
        <v>1278</v>
      </c>
      <c r="F251" s="67"/>
    </row>
    <row r="252" spans="1:6">
      <c r="A252" s="205" t="s">
        <v>271</v>
      </c>
      <c r="B252" s="184" t="s">
        <v>272</v>
      </c>
      <c r="C252" s="386">
        <f>4*B54</f>
        <v>2</v>
      </c>
      <c r="D252" s="313">
        <v>120</v>
      </c>
      <c r="E252" s="11">
        <f>C252*D252</f>
        <v>240</v>
      </c>
      <c r="F252" s="67"/>
    </row>
    <row r="253" spans="1:6" ht="13.5" thickBot="1">
      <c r="A253" s="205" t="s">
        <v>348</v>
      </c>
      <c r="B253" s="184" t="s">
        <v>272</v>
      </c>
      <c r="C253" s="324">
        <v>16</v>
      </c>
      <c r="D253" s="313">
        <v>31</v>
      </c>
      <c r="E253" s="11">
        <f>C253*D253</f>
        <v>496</v>
      </c>
      <c r="F253" s="67"/>
    </row>
    <row r="254" spans="1:6" ht="13.5" thickBot="1">
      <c r="A254" s="195"/>
      <c r="B254" s="36"/>
      <c r="C254" s="36"/>
      <c r="D254" s="40"/>
      <c r="E254" s="40"/>
      <c r="F254" s="369">
        <f>SUM(E251:E253)</f>
        <v>2014</v>
      </c>
    </row>
    <row r="255" spans="1:6" ht="11.25" customHeight="1">
      <c r="A255" s="195"/>
      <c r="B255" s="36"/>
      <c r="C255" s="36"/>
      <c r="D255" s="40"/>
      <c r="E255" s="40"/>
      <c r="F255" s="67"/>
    </row>
    <row r="256" spans="1:6" ht="13.5" thickBot="1">
      <c r="A256" s="199" t="s">
        <v>50</v>
      </c>
      <c r="B256" s="36"/>
      <c r="C256" s="36"/>
      <c r="D256" s="40"/>
      <c r="E256" s="40"/>
      <c r="F256" s="67"/>
    </row>
    <row r="257" spans="1:6" ht="13.5" thickBot="1">
      <c r="A257" s="365" t="s">
        <v>51</v>
      </c>
      <c r="B257" s="364" t="s">
        <v>52</v>
      </c>
      <c r="C257" s="364" t="s">
        <v>33</v>
      </c>
      <c r="D257" s="363" t="s">
        <v>184</v>
      </c>
      <c r="E257" s="363" t="s">
        <v>53</v>
      </c>
      <c r="F257" s="362" t="s">
        <v>54</v>
      </c>
    </row>
    <row r="258" spans="1:6">
      <c r="A258" s="201" t="s">
        <v>349</v>
      </c>
      <c r="B258" s="10" t="s">
        <v>10</v>
      </c>
      <c r="C258" s="325">
        <v>10</v>
      </c>
      <c r="D258" s="313">
        <v>1924.9</v>
      </c>
      <c r="E258" s="11">
        <f>C258*D258</f>
        <v>19249</v>
      </c>
      <c r="F258" s="67"/>
    </row>
    <row r="259" spans="1:6">
      <c r="A259" s="205" t="s">
        <v>93</v>
      </c>
      <c r="B259" s="10" t="s">
        <v>10</v>
      </c>
      <c r="C259" s="325">
        <v>2</v>
      </c>
      <c r="D259" s="55"/>
      <c r="E259" s="11"/>
      <c r="F259" s="67"/>
    </row>
    <row r="260" spans="1:6">
      <c r="A260" s="205" t="s">
        <v>55</v>
      </c>
      <c r="B260" s="10" t="s">
        <v>10</v>
      </c>
      <c r="C260" s="11">
        <f>C258*C259</f>
        <v>20</v>
      </c>
      <c r="D260" s="313">
        <v>407.52</v>
      </c>
      <c r="E260" s="11">
        <f>C260*D260</f>
        <v>8150.4</v>
      </c>
      <c r="F260" s="67"/>
    </row>
    <row r="261" spans="1:6">
      <c r="A261" s="217" t="s">
        <v>350</v>
      </c>
      <c r="B261" s="13" t="s">
        <v>25</v>
      </c>
      <c r="C261" s="326">
        <f>40000+20000+10000</f>
        <v>70000</v>
      </c>
      <c r="D261" s="14">
        <f>E258+E260</f>
        <v>27399.4</v>
      </c>
      <c r="E261" s="14">
        <f>IFERROR(D261/C261,"-")</f>
        <v>0.39142000000000005</v>
      </c>
      <c r="F261" s="67"/>
    </row>
    <row r="262" spans="1:6" ht="13.5" thickBot="1">
      <c r="A262" s="210" t="s">
        <v>46</v>
      </c>
      <c r="B262" s="13" t="s">
        <v>17</v>
      </c>
      <c r="C262" s="52">
        <f>B232</f>
        <v>1704</v>
      </c>
      <c r="D262" s="14">
        <f>E261</f>
        <v>0.39142000000000005</v>
      </c>
      <c r="E262" s="14">
        <f>IFERROR(C262*D262,0)</f>
        <v>666.97968000000003</v>
      </c>
      <c r="F262" s="67"/>
    </row>
    <row r="263" spans="1:6" ht="13.5" thickBot="1">
      <c r="A263" s="195"/>
      <c r="B263" s="36"/>
      <c r="C263" s="36"/>
      <c r="D263" s="40"/>
      <c r="E263" s="40"/>
      <c r="F263" s="369">
        <f>E262</f>
        <v>666.97968000000003</v>
      </c>
    </row>
    <row r="264" spans="1:6" ht="11.25" customHeight="1">
      <c r="A264" s="195"/>
      <c r="B264" s="36"/>
      <c r="C264" s="36"/>
      <c r="D264" s="40"/>
      <c r="E264" s="40"/>
      <c r="F264" s="67"/>
    </row>
    <row r="265" spans="1:6">
      <c r="A265" s="200" t="s">
        <v>364</v>
      </c>
      <c r="B265" s="334"/>
      <c r="C265" s="36"/>
      <c r="D265" s="40"/>
      <c r="E265" s="40"/>
      <c r="F265" s="67"/>
    </row>
    <row r="266" spans="1:6" ht="13.5" thickBot="1">
      <c r="A266" s="223" t="s">
        <v>254</v>
      </c>
      <c r="B266" s="334"/>
      <c r="C266" s="36"/>
      <c r="D266" s="40"/>
      <c r="E266" s="40"/>
      <c r="F266" s="67"/>
    </row>
    <row r="267" spans="1:6" ht="13.5" thickBot="1">
      <c r="A267" s="365" t="s">
        <v>51</v>
      </c>
      <c r="B267" s="364" t="s">
        <v>52</v>
      </c>
      <c r="C267" s="364" t="s">
        <v>33</v>
      </c>
      <c r="D267" s="363" t="s">
        <v>184</v>
      </c>
      <c r="E267" s="363" t="s">
        <v>53</v>
      </c>
      <c r="F267" s="362" t="s">
        <v>54</v>
      </c>
    </row>
    <row r="268" spans="1:6">
      <c r="A268" s="224" t="s">
        <v>83</v>
      </c>
      <c r="B268" s="158" t="s">
        <v>10</v>
      </c>
      <c r="C268" s="158">
        <v>1</v>
      </c>
      <c r="D268" s="313">
        <v>300000</v>
      </c>
      <c r="E268" s="11">
        <f>C268*D268</f>
        <v>300000</v>
      </c>
      <c r="F268" s="67"/>
    </row>
    <row r="269" spans="1:6">
      <c r="A269" s="202" t="s">
        <v>80</v>
      </c>
      <c r="B269" s="159" t="s">
        <v>81</v>
      </c>
      <c r="C269" s="312">
        <v>10</v>
      </c>
      <c r="D269" s="51"/>
      <c r="E269" s="14"/>
      <c r="F269" s="67"/>
    </row>
    <row r="270" spans="1:6">
      <c r="A270" s="202" t="s">
        <v>166</v>
      </c>
      <c r="B270" s="159" t="s">
        <v>81</v>
      </c>
      <c r="C270" s="312">
        <v>0</v>
      </c>
      <c r="D270" s="14"/>
      <c r="E270" s="14"/>
      <c r="F270" s="214"/>
    </row>
    <row r="271" spans="1:6">
      <c r="A271" s="202" t="s">
        <v>82</v>
      </c>
      <c r="B271" s="159" t="s">
        <v>2</v>
      </c>
      <c r="C271" s="71">
        <f>IFERROR(VLOOKUP(C269,'5. Depreciação'!A$3:B$17,2,FALSE),0)</f>
        <v>65</v>
      </c>
      <c r="D271" s="14">
        <f>E268</f>
        <v>300000</v>
      </c>
      <c r="E271" s="14">
        <f>C271*D271/100</f>
        <v>195000</v>
      </c>
      <c r="F271" s="67"/>
    </row>
    <row r="272" spans="1:6" ht="13.5" thickBot="1">
      <c r="A272" s="225" t="s">
        <v>250</v>
      </c>
      <c r="B272" s="345" t="s">
        <v>8</v>
      </c>
      <c r="C272" s="161">
        <f>C269*12</f>
        <v>120</v>
      </c>
      <c r="D272" s="162">
        <f>IF(C270&lt;=C269,E271,0)</f>
        <v>195000</v>
      </c>
      <c r="E272" s="162">
        <f>IFERROR(D272/C272,0)</f>
        <v>1625</v>
      </c>
      <c r="F272" s="67"/>
    </row>
    <row r="273" spans="1:6" ht="13.5" thickTop="1">
      <c r="A273" s="216" t="s">
        <v>355</v>
      </c>
      <c r="B273" s="158" t="s">
        <v>10</v>
      </c>
      <c r="C273" s="10">
        <f>C268</f>
        <v>1</v>
      </c>
      <c r="D273" s="313">
        <v>1312814</v>
      </c>
      <c r="E273" s="11">
        <f>C273*D273</f>
        <v>1312814</v>
      </c>
      <c r="F273" s="67"/>
    </row>
    <row r="274" spans="1:6">
      <c r="A274" s="217" t="s">
        <v>356</v>
      </c>
      <c r="B274" s="159" t="s">
        <v>81</v>
      </c>
      <c r="C274" s="312">
        <v>10</v>
      </c>
      <c r="D274" s="14"/>
      <c r="E274" s="14"/>
      <c r="F274" s="67"/>
    </row>
    <row r="275" spans="1:6">
      <c r="A275" s="217" t="s">
        <v>357</v>
      </c>
      <c r="B275" s="159" t="s">
        <v>81</v>
      </c>
      <c r="C275" s="312">
        <v>0</v>
      </c>
      <c r="D275" s="14"/>
      <c r="E275" s="14"/>
      <c r="F275" s="214"/>
    </row>
    <row r="276" spans="1:6">
      <c r="A276" s="217" t="s">
        <v>358</v>
      </c>
      <c r="B276" s="159" t="s">
        <v>2</v>
      </c>
      <c r="C276" s="71">
        <f>IFERROR(VLOOKUP(C274,'5. Depreciação'!A$3:B$17,2,FALSE),0)</f>
        <v>65</v>
      </c>
      <c r="D276" s="14">
        <f>E273</f>
        <v>1312814</v>
      </c>
      <c r="E276" s="14">
        <f>C276*D276/100</f>
        <v>853329.1</v>
      </c>
      <c r="F276" s="67"/>
    </row>
    <row r="277" spans="1:6">
      <c r="A277" s="226" t="s">
        <v>323</v>
      </c>
      <c r="B277" s="346" t="s">
        <v>8</v>
      </c>
      <c r="C277" s="53">
        <f>C274*12</f>
        <v>120</v>
      </c>
      <c r="D277" s="54">
        <f>IF(C275&lt;=C274,E276,0)</f>
        <v>853329.1</v>
      </c>
      <c r="E277" s="54">
        <f>IFERROR(D277/C277,0)</f>
        <v>7111.0758333333333</v>
      </c>
      <c r="F277" s="67"/>
    </row>
    <row r="278" spans="1:6">
      <c r="A278" s="226" t="s">
        <v>280</v>
      </c>
      <c r="B278" s="347"/>
      <c r="C278" s="151"/>
      <c r="D278" s="152"/>
      <c r="E278" s="54">
        <f>E272+E277</f>
        <v>8736.0758333333324</v>
      </c>
      <c r="F278" s="67"/>
    </row>
    <row r="279" spans="1:6" ht="13.5" thickBot="1">
      <c r="A279" s="218" t="s">
        <v>198</v>
      </c>
      <c r="B279" s="346" t="s">
        <v>10</v>
      </c>
      <c r="C279" s="59">
        <f>E52</f>
        <v>1</v>
      </c>
      <c r="D279" s="54">
        <f>E278</f>
        <v>8736.0758333333324</v>
      </c>
      <c r="E279" s="58">
        <f>C279*D279</f>
        <v>8736.0758333333324</v>
      </c>
      <c r="F279" s="67"/>
    </row>
    <row r="280" spans="1:6" ht="13.5" thickBot="1">
      <c r="A280" s="228"/>
      <c r="B280" s="348"/>
      <c r="C280" s="414" t="s">
        <v>159</v>
      </c>
      <c r="D280" s="419"/>
      <c r="E280" s="397">
        <f>$B$55</f>
        <v>8.3299999999999999E-2</v>
      </c>
      <c r="F280" s="369">
        <f>E279*E280</f>
        <v>727.7151169166666</v>
      </c>
    </row>
    <row r="281" spans="1:6" ht="11.25" customHeight="1">
      <c r="A281" s="204"/>
      <c r="B281" s="334"/>
      <c r="C281" s="36"/>
      <c r="D281" s="40"/>
      <c r="E281" s="40"/>
      <c r="F281" s="67"/>
    </row>
    <row r="282" spans="1:6" ht="13.5" thickBot="1">
      <c r="A282" s="223" t="s">
        <v>255</v>
      </c>
      <c r="B282" s="334"/>
      <c r="C282" s="36"/>
      <c r="D282" s="40"/>
      <c r="E282" s="40"/>
      <c r="F282" s="67"/>
    </row>
    <row r="283" spans="1:6" ht="13.5" thickBot="1">
      <c r="A283" s="370" t="s">
        <v>51</v>
      </c>
      <c r="B283" s="371" t="s">
        <v>52</v>
      </c>
      <c r="C283" s="371" t="s">
        <v>33</v>
      </c>
      <c r="D283" s="372" t="s">
        <v>184</v>
      </c>
      <c r="E283" s="372" t="s">
        <v>53</v>
      </c>
      <c r="F283" s="373" t="s">
        <v>54</v>
      </c>
    </row>
    <row r="284" spans="1:6">
      <c r="A284" s="300" t="s">
        <v>86</v>
      </c>
      <c r="B284" s="301" t="s">
        <v>10</v>
      </c>
      <c r="C284" s="301">
        <v>1</v>
      </c>
      <c r="D284" s="302">
        <f>D268</f>
        <v>300000</v>
      </c>
      <c r="E284" s="302">
        <f>C284*D284</f>
        <v>300000</v>
      </c>
      <c r="F284" s="303"/>
    </row>
    <row r="285" spans="1:6">
      <c r="A285" s="202" t="s">
        <v>168</v>
      </c>
      <c r="B285" s="159" t="s">
        <v>2</v>
      </c>
      <c r="C285" s="159">
        <f>C$210</f>
        <v>4.25</v>
      </c>
      <c r="D285" s="14"/>
      <c r="E285" s="14"/>
      <c r="F285" s="214"/>
    </row>
    <row r="286" spans="1:6">
      <c r="A286" s="202" t="s">
        <v>167</v>
      </c>
      <c r="B286" s="159" t="s">
        <v>27</v>
      </c>
      <c r="C286" s="75">
        <f>IFERROR(IF(C270&lt;=C269,E268-(C271/(100*C269)*C270)*E268,E268-E271),0)</f>
        <v>300000</v>
      </c>
      <c r="D286" s="14"/>
      <c r="E286" s="14"/>
      <c r="F286" s="214"/>
    </row>
    <row r="287" spans="1:6">
      <c r="A287" s="202" t="s">
        <v>89</v>
      </c>
      <c r="B287" s="159" t="s">
        <v>27</v>
      </c>
      <c r="C287" s="51">
        <f>IFERROR(IF(C270&gt;=C269,C286,((((C286)-(E268-E271))*(((C269-C270)+1)/(2*(C269-C270))))+(E268-E271))),0)</f>
        <v>212250</v>
      </c>
      <c r="D287" s="14"/>
      <c r="E287" s="14"/>
      <c r="F287" s="214"/>
    </row>
    <row r="288" spans="1:6" ht="13.5" thickBot="1">
      <c r="A288" s="225" t="s">
        <v>90</v>
      </c>
      <c r="B288" s="345" t="s">
        <v>27</v>
      </c>
      <c r="C288" s="161"/>
      <c r="D288" s="163">
        <f>C285*C287/12/100</f>
        <v>751.71875</v>
      </c>
      <c r="E288" s="162">
        <f>D288</f>
        <v>751.71875</v>
      </c>
      <c r="F288" s="214"/>
    </row>
    <row r="289" spans="1:6" ht="13.5" thickTop="1">
      <c r="A289" s="201" t="s">
        <v>261</v>
      </c>
      <c r="B289" s="158" t="s">
        <v>10</v>
      </c>
      <c r="C289" s="10">
        <f>C273</f>
        <v>1</v>
      </c>
      <c r="D289" s="11">
        <f>D273</f>
        <v>1312814</v>
      </c>
      <c r="E289" s="11">
        <f>C289*D289</f>
        <v>1312814</v>
      </c>
      <c r="F289" s="214"/>
    </row>
    <row r="290" spans="1:6">
      <c r="A290" s="202" t="s">
        <v>168</v>
      </c>
      <c r="B290" s="159" t="s">
        <v>2</v>
      </c>
      <c r="C290" s="159">
        <f>C$210</f>
        <v>4.25</v>
      </c>
      <c r="D290" s="14"/>
      <c r="E290" s="14"/>
      <c r="F290" s="214"/>
    </row>
    <row r="291" spans="1:6">
      <c r="A291" s="217" t="s">
        <v>262</v>
      </c>
      <c r="B291" s="159" t="s">
        <v>27</v>
      </c>
      <c r="C291" s="75">
        <f>IFERROR(IF(C275&lt;=C274,E273-(C276/(100*C274)*C275)*E273,E273-E276),0)</f>
        <v>1312814</v>
      </c>
      <c r="D291" s="14"/>
      <c r="E291" s="14"/>
      <c r="F291" s="214"/>
    </row>
    <row r="292" spans="1:6">
      <c r="A292" s="227" t="s">
        <v>324</v>
      </c>
      <c r="B292" s="159" t="s">
        <v>27</v>
      </c>
      <c r="C292" s="51">
        <f>IFERROR(IF(C275&gt;=C274,C291,((((C291)-(E273-E276))*(((C274-C275)+1)/(2*(C274-C275))))+(E273-E276))),0)</f>
        <v>928815.90500000003</v>
      </c>
      <c r="D292" s="14"/>
      <c r="E292" s="14"/>
      <c r="F292" s="214"/>
    </row>
    <row r="293" spans="1:6" ht="25.5">
      <c r="A293" s="226" t="s">
        <v>263</v>
      </c>
      <c r="B293" s="346" t="s">
        <v>27</v>
      </c>
      <c r="C293" s="53"/>
      <c r="D293" s="57">
        <f>C290*C292/12/100</f>
        <v>3289.5563302083333</v>
      </c>
      <c r="E293" s="54">
        <f>D293</f>
        <v>3289.5563302083333</v>
      </c>
      <c r="F293" s="214"/>
    </row>
    <row r="294" spans="1:6">
      <c r="A294" s="203" t="s">
        <v>249</v>
      </c>
      <c r="B294" s="349"/>
      <c r="C294" s="191"/>
      <c r="D294" s="22"/>
      <c r="E294" s="58">
        <f>E288+E293</f>
        <v>4041.2750802083333</v>
      </c>
      <c r="F294" s="214"/>
    </row>
    <row r="295" spans="1:6" ht="13.5" thickBot="1">
      <c r="A295" s="218" t="s">
        <v>198</v>
      </c>
      <c r="B295" s="346" t="s">
        <v>10</v>
      </c>
      <c r="C295" s="159">
        <f>C279</f>
        <v>1</v>
      </c>
      <c r="D295" s="54">
        <f>E294</f>
        <v>4041.2750802083333</v>
      </c>
      <c r="E295" s="58">
        <f>C295*D295</f>
        <v>4041.2750802083333</v>
      </c>
      <c r="F295" s="214"/>
    </row>
    <row r="296" spans="1:6" ht="13.5" thickBot="1">
      <c r="A296" s="204"/>
      <c r="B296" s="334"/>
      <c r="C296" s="414" t="s">
        <v>159</v>
      </c>
      <c r="D296" s="419"/>
      <c r="E296" s="397">
        <f>$B$55</f>
        <v>8.3299999999999999E-2</v>
      </c>
      <c r="F296" s="369">
        <f>E295*E296</f>
        <v>336.63821418135416</v>
      </c>
    </row>
    <row r="297" spans="1:6" ht="11.25" customHeight="1">
      <c r="A297" s="204"/>
      <c r="B297" s="334"/>
      <c r="C297" s="36"/>
      <c r="D297" s="40"/>
      <c r="E297" s="40"/>
      <c r="F297" s="67"/>
    </row>
    <row r="298" spans="1:6" ht="13.5" thickBot="1">
      <c r="A298" s="304" t="s">
        <v>256</v>
      </c>
      <c r="B298" s="350"/>
      <c r="C298" s="186"/>
      <c r="D298" s="185"/>
      <c r="E298" s="185"/>
      <c r="F298" s="305"/>
    </row>
    <row r="299" spans="1:6" ht="13.5" thickBot="1">
      <c r="A299" s="365" t="s">
        <v>51</v>
      </c>
      <c r="B299" s="364" t="s">
        <v>52</v>
      </c>
      <c r="C299" s="364" t="s">
        <v>33</v>
      </c>
      <c r="D299" s="363" t="s">
        <v>184</v>
      </c>
      <c r="E299" s="363" t="s">
        <v>53</v>
      </c>
      <c r="F299" s="362" t="s">
        <v>54</v>
      </c>
    </row>
    <row r="300" spans="1:6">
      <c r="A300" s="224" t="s">
        <v>11</v>
      </c>
      <c r="B300" s="158" t="s">
        <v>10</v>
      </c>
      <c r="C300" s="11">
        <f>C279</f>
        <v>1</v>
      </c>
      <c r="D300" s="313">
        <v>3076</v>
      </c>
      <c r="E300" s="11">
        <f>C300*D300</f>
        <v>3076</v>
      </c>
      <c r="F300" s="67"/>
    </row>
    <row r="301" spans="1:6">
      <c r="A301" s="217" t="s">
        <v>352</v>
      </c>
      <c r="B301" s="159" t="s">
        <v>10</v>
      </c>
      <c r="C301" s="11">
        <f>C279</f>
        <v>1</v>
      </c>
      <c r="D301" s="328">
        <v>66.7</v>
      </c>
      <c r="E301" s="14">
        <f>C301*D301</f>
        <v>66.7</v>
      </c>
      <c r="F301" s="67"/>
    </row>
    <row r="302" spans="1:6">
      <c r="A302" s="202" t="s">
        <v>12</v>
      </c>
      <c r="B302" s="159" t="s">
        <v>10</v>
      </c>
      <c r="C302" s="11">
        <f>C279</f>
        <v>1</v>
      </c>
      <c r="D302" s="328">
        <v>1500</v>
      </c>
      <c r="E302" s="14">
        <f>C302*D302</f>
        <v>1500</v>
      </c>
      <c r="F302" s="222"/>
    </row>
    <row r="303" spans="1:6" ht="13.5" thickBot="1">
      <c r="A303" s="218" t="s">
        <v>13</v>
      </c>
      <c r="B303" s="346" t="s">
        <v>8</v>
      </c>
      <c r="C303" s="53">
        <v>12</v>
      </c>
      <c r="D303" s="54">
        <f>SUM(E300:E302)</f>
        <v>4642.7</v>
      </c>
      <c r="E303" s="54">
        <f>D303/C303</f>
        <v>386.89166666666665</v>
      </c>
      <c r="F303" s="67"/>
    </row>
    <row r="304" spans="1:6" ht="13.5" thickBot="1">
      <c r="A304" s="204"/>
      <c r="B304" s="334"/>
      <c r="C304" s="414" t="s">
        <v>159</v>
      </c>
      <c r="D304" s="419"/>
      <c r="E304" s="397">
        <f>$B$55</f>
        <v>8.3299999999999999E-2</v>
      </c>
      <c r="F304" s="366">
        <f>E303*E304</f>
        <v>32.228075833333335</v>
      </c>
    </row>
    <row r="305" spans="1:6" ht="11.25" customHeight="1">
      <c r="A305" s="204"/>
      <c r="B305" s="334"/>
      <c r="C305" s="36"/>
      <c r="D305" s="40"/>
      <c r="E305" s="40"/>
      <c r="F305" s="67"/>
    </row>
    <row r="306" spans="1:6">
      <c r="A306" s="200" t="s">
        <v>257</v>
      </c>
      <c r="B306" s="351"/>
      <c r="C306" s="36"/>
      <c r="D306" s="40"/>
      <c r="E306" s="40"/>
      <c r="F306" s="67"/>
    </row>
    <row r="307" spans="1:6">
      <c r="A307" s="218" t="s">
        <v>258</v>
      </c>
      <c r="B307" s="321">
        <v>200</v>
      </c>
      <c r="C307" s="36"/>
      <c r="D307" s="40"/>
      <c r="E307" s="40"/>
      <c r="F307" s="67"/>
    </row>
    <row r="308" spans="1:6" ht="13.5" thickBot="1">
      <c r="A308" s="204"/>
      <c r="B308" s="351"/>
      <c r="C308" s="36"/>
      <c r="D308" s="40"/>
      <c r="E308" s="40"/>
      <c r="F308" s="67"/>
    </row>
    <row r="309" spans="1:6" ht="13.5" thickBot="1">
      <c r="A309" s="365" t="s">
        <v>51</v>
      </c>
      <c r="B309" s="364" t="s">
        <v>52</v>
      </c>
      <c r="C309" s="364" t="s">
        <v>197</v>
      </c>
      <c r="D309" s="363" t="s">
        <v>184</v>
      </c>
      <c r="E309" s="363" t="s">
        <v>53</v>
      </c>
      <c r="F309" s="362" t="s">
        <v>54</v>
      </c>
    </row>
    <row r="310" spans="1:6">
      <c r="A310" s="224" t="s">
        <v>14</v>
      </c>
      <c r="B310" s="158" t="s">
        <v>15</v>
      </c>
      <c r="C310" s="322">
        <v>1.5</v>
      </c>
      <c r="D310" s="188">
        <f>D234</f>
        <v>4.4800000000000004</v>
      </c>
      <c r="E310" s="11"/>
      <c r="F310" s="67"/>
    </row>
    <row r="311" spans="1:6">
      <c r="A311" s="202" t="s">
        <v>16</v>
      </c>
      <c r="B311" s="159" t="s">
        <v>17</v>
      </c>
      <c r="C311" s="52">
        <f>B307</f>
        <v>200</v>
      </c>
      <c r="D311" s="156">
        <f>IFERROR(+D310/C310,"-")</f>
        <v>2.9866666666666668</v>
      </c>
      <c r="E311" s="14">
        <f>IFERROR(C311*D311,"-")</f>
        <v>597.33333333333337</v>
      </c>
      <c r="F311" s="67"/>
    </row>
    <row r="312" spans="1:6">
      <c r="A312" s="217" t="s">
        <v>265</v>
      </c>
      <c r="B312" s="339" t="s">
        <v>15</v>
      </c>
      <c r="C312" s="322">
        <v>90</v>
      </c>
      <c r="D312" s="188">
        <f>D236</f>
        <v>4</v>
      </c>
      <c r="E312" s="14"/>
      <c r="F312" s="67"/>
    </row>
    <row r="313" spans="1:6" s="4" customFormat="1">
      <c r="A313" s="210" t="s">
        <v>346</v>
      </c>
      <c r="B313" s="183" t="s">
        <v>347</v>
      </c>
      <c r="C313" s="343">
        <f>C311</f>
        <v>200</v>
      </c>
      <c r="D313" s="344">
        <f>IFERROR(+D312/C312,"-")</f>
        <v>4.4444444444444446E-2</v>
      </c>
      <c r="E313" s="241">
        <f>IFERROR(C313*D313,"-")</f>
        <v>8.8888888888888893</v>
      </c>
      <c r="F313" s="239"/>
    </row>
    <row r="314" spans="1:6">
      <c r="A314" s="202" t="s">
        <v>185</v>
      </c>
      <c r="B314" s="159" t="s">
        <v>18</v>
      </c>
      <c r="C314" s="319">
        <v>6</v>
      </c>
      <c r="D314" s="383">
        <f>D238</f>
        <v>17.45</v>
      </c>
      <c r="E314" s="14"/>
      <c r="F314" s="67"/>
    </row>
    <row r="315" spans="1:6">
      <c r="A315" s="202" t="s">
        <v>19</v>
      </c>
      <c r="B315" s="159" t="s">
        <v>17</v>
      </c>
      <c r="C315" s="52">
        <f>C311</f>
        <v>200</v>
      </c>
      <c r="D315" s="153">
        <f>+C314*D314/1000</f>
        <v>0.10469999999999999</v>
      </c>
      <c r="E315" s="14">
        <f>C315*D315</f>
        <v>20.939999999999998</v>
      </c>
      <c r="F315" s="67"/>
    </row>
    <row r="316" spans="1:6">
      <c r="A316" s="202" t="s">
        <v>186</v>
      </c>
      <c r="B316" s="159" t="s">
        <v>18</v>
      </c>
      <c r="C316" s="319">
        <v>1</v>
      </c>
      <c r="D316" s="383">
        <f>D240</f>
        <v>15.48</v>
      </c>
      <c r="E316" s="14"/>
      <c r="F316" s="67"/>
    </row>
    <row r="317" spans="1:6">
      <c r="A317" s="202" t="s">
        <v>20</v>
      </c>
      <c r="B317" s="159" t="s">
        <v>17</v>
      </c>
      <c r="C317" s="52">
        <f>C311</f>
        <v>200</v>
      </c>
      <c r="D317" s="153">
        <f>+C316*D316/1000</f>
        <v>1.5480000000000001E-2</v>
      </c>
      <c r="E317" s="14">
        <f>C317*D317</f>
        <v>3.0960000000000001</v>
      </c>
      <c r="F317" s="67"/>
    </row>
    <row r="318" spans="1:6">
      <c r="A318" s="202" t="s">
        <v>187</v>
      </c>
      <c r="B318" s="159" t="s">
        <v>18</v>
      </c>
      <c r="C318" s="319">
        <v>5</v>
      </c>
      <c r="D318" s="383">
        <f>D242</f>
        <v>13.2</v>
      </c>
      <c r="E318" s="14"/>
      <c r="F318" s="67"/>
    </row>
    <row r="319" spans="1:6">
      <c r="A319" s="202" t="s">
        <v>21</v>
      </c>
      <c r="B319" s="159" t="s">
        <v>17</v>
      </c>
      <c r="C319" s="52">
        <f>C311</f>
        <v>200</v>
      </c>
      <c r="D319" s="153">
        <f>+C318*D318/1000</f>
        <v>6.6000000000000003E-2</v>
      </c>
      <c r="E319" s="14">
        <f>C319*D319</f>
        <v>13.200000000000001</v>
      </c>
      <c r="F319" s="67"/>
    </row>
    <row r="320" spans="1:6">
      <c r="A320" s="202" t="s">
        <v>22</v>
      </c>
      <c r="B320" s="159" t="s">
        <v>23</v>
      </c>
      <c r="C320" s="319">
        <v>2</v>
      </c>
      <c r="D320" s="383">
        <f>D244</f>
        <v>12.25</v>
      </c>
      <c r="E320" s="14"/>
      <c r="F320" s="67"/>
    </row>
    <row r="321" spans="1:6" ht="13.5" thickBot="1">
      <c r="A321" s="202" t="s">
        <v>24</v>
      </c>
      <c r="B321" s="159" t="s">
        <v>17</v>
      </c>
      <c r="C321" s="52">
        <f>C311</f>
        <v>200</v>
      </c>
      <c r="D321" s="153">
        <f>+C320*D320/1000</f>
        <v>2.4500000000000001E-2</v>
      </c>
      <c r="E321" s="14">
        <f>C321*D321</f>
        <v>4.9000000000000004</v>
      </c>
      <c r="F321" s="67"/>
    </row>
    <row r="322" spans="1:6" ht="13.5" thickBot="1">
      <c r="A322" s="218" t="s">
        <v>196</v>
      </c>
      <c r="B322" s="346" t="s">
        <v>92</v>
      </c>
      <c r="C322" s="154"/>
      <c r="D322" s="155">
        <f>IFERROR(D311+D313+D315+D317+D319+D321,0)</f>
        <v>3.2417911111111111</v>
      </c>
      <c r="E322" s="14"/>
      <c r="F322" s="369">
        <f>SUM(E310:E321)</f>
        <v>648.35822222222225</v>
      </c>
    </row>
    <row r="323" spans="1:6" ht="11.25" customHeight="1">
      <c r="A323" s="204"/>
      <c r="B323" s="334"/>
      <c r="C323" s="36"/>
      <c r="D323" s="40"/>
      <c r="E323" s="40"/>
      <c r="F323" s="67"/>
    </row>
    <row r="324" spans="1:6" ht="13.5" thickBot="1">
      <c r="A324" s="200" t="s">
        <v>259</v>
      </c>
      <c r="B324" s="334"/>
      <c r="C324" s="36"/>
      <c r="D324" s="40"/>
      <c r="E324" s="40"/>
      <c r="F324" s="67"/>
    </row>
    <row r="325" spans="1:6" ht="13.5" thickBot="1">
      <c r="A325" s="365" t="s">
        <v>51</v>
      </c>
      <c r="B325" s="364" t="s">
        <v>52</v>
      </c>
      <c r="C325" s="364" t="s">
        <v>33</v>
      </c>
      <c r="D325" s="363" t="s">
        <v>184</v>
      </c>
      <c r="E325" s="363" t="s">
        <v>53</v>
      </c>
      <c r="F325" s="362" t="s">
        <v>54</v>
      </c>
    </row>
    <row r="326" spans="1:6" ht="13.5" thickBot="1">
      <c r="A326" s="224" t="s">
        <v>91</v>
      </c>
      <c r="B326" s="158" t="s">
        <v>92</v>
      </c>
      <c r="C326" s="52">
        <f>C311</f>
        <v>200</v>
      </c>
      <c r="D326" s="313">
        <v>1.5</v>
      </c>
      <c r="E326" s="11">
        <f>C326*D326</f>
        <v>300</v>
      </c>
      <c r="F326" s="67"/>
    </row>
    <row r="327" spans="1:6" ht="13.5" thickBot="1">
      <c r="A327" s="201" t="s">
        <v>353</v>
      </c>
      <c r="B327" s="352" t="s">
        <v>272</v>
      </c>
      <c r="C327" s="295">
        <f>C$252*B55</f>
        <v>0.1666</v>
      </c>
      <c r="D327" s="313">
        <v>120</v>
      </c>
      <c r="E327" s="11">
        <f>C327*D327</f>
        <v>19.992000000000001</v>
      </c>
      <c r="F327" s="369">
        <f>SUM(E326:E327)</f>
        <v>319.99200000000002</v>
      </c>
    </row>
    <row r="328" spans="1:6" ht="11.25" customHeight="1">
      <c r="A328" s="204"/>
      <c r="B328" s="334"/>
      <c r="C328" s="36"/>
      <c r="D328" s="40"/>
      <c r="E328" s="40"/>
      <c r="F328" s="67"/>
    </row>
    <row r="329" spans="1:6" ht="13.5" thickBot="1">
      <c r="A329" s="200" t="s">
        <v>260</v>
      </c>
      <c r="B329" s="334"/>
      <c r="C329" s="36"/>
      <c r="D329" s="40"/>
      <c r="E329" s="40"/>
      <c r="F329" s="67"/>
    </row>
    <row r="330" spans="1:6" ht="13.5" thickBot="1">
      <c r="A330" s="365" t="s">
        <v>51</v>
      </c>
      <c r="B330" s="364" t="s">
        <v>52</v>
      </c>
      <c r="C330" s="364" t="s">
        <v>33</v>
      </c>
      <c r="D330" s="363" t="s">
        <v>184</v>
      </c>
      <c r="E330" s="363" t="s">
        <v>53</v>
      </c>
      <c r="F330" s="362" t="s">
        <v>54</v>
      </c>
    </row>
    <row r="331" spans="1:6">
      <c r="A331" s="201" t="s">
        <v>349</v>
      </c>
      <c r="B331" s="158" t="s">
        <v>10</v>
      </c>
      <c r="C331" s="325">
        <v>6</v>
      </c>
      <c r="D331" s="313">
        <v>1924.9</v>
      </c>
      <c r="E331" s="11">
        <f>C331*D331</f>
        <v>11549.400000000001</v>
      </c>
      <c r="F331" s="67"/>
    </row>
    <row r="332" spans="1:6">
      <c r="A332" s="205" t="s">
        <v>93</v>
      </c>
      <c r="B332" s="158" t="s">
        <v>10</v>
      </c>
      <c r="C332" s="325">
        <v>2</v>
      </c>
      <c r="D332" s="55"/>
      <c r="E332" s="11"/>
      <c r="F332" s="67"/>
    </row>
    <row r="333" spans="1:6">
      <c r="A333" s="205" t="s">
        <v>55</v>
      </c>
      <c r="B333" s="158" t="s">
        <v>10</v>
      </c>
      <c r="C333" s="11">
        <f>C331*C332</f>
        <v>12</v>
      </c>
      <c r="D333" s="313">
        <v>407.52</v>
      </c>
      <c r="E333" s="11">
        <f>C333*D333</f>
        <v>4890.24</v>
      </c>
      <c r="F333" s="67"/>
    </row>
    <row r="334" spans="1:6" ht="13.5" thickBot="1">
      <c r="A334" s="217" t="s">
        <v>350</v>
      </c>
      <c r="B334" s="159" t="s">
        <v>25</v>
      </c>
      <c r="C334" s="326">
        <f>40000+20000+10000</f>
        <v>70000</v>
      </c>
      <c r="D334" s="14">
        <f>E331+E333</f>
        <v>16439.64</v>
      </c>
      <c r="E334" s="14">
        <f>IFERROR(D334/C334,"-")</f>
        <v>0.23485200000000001</v>
      </c>
      <c r="F334" s="67"/>
    </row>
    <row r="335" spans="1:6" ht="13.5" thickBot="1">
      <c r="A335" s="210" t="s">
        <v>46</v>
      </c>
      <c r="B335" s="159" t="s">
        <v>17</v>
      </c>
      <c r="C335" s="52">
        <f>B307</f>
        <v>200</v>
      </c>
      <c r="D335" s="14">
        <f>E334</f>
        <v>0.23485200000000001</v>
      </c>
      <c r="E335" s="14">
        <f>IFERROR(C335*D335,0)</f>
        <v>46.970399999999998</v>
      </c>
      <c r="F335" s="369">
        <f>E335</f>
        <v>46.970399999999998</v>
      </c>
    </row>
    <row r="336" spans="1:6" ht="11.25" customHeight="1">
      <c r="A336" s="195"/>
      <c r="B336" s="36"/>
      <c r="C336" s="36"/>
      <c r="D336" s="40"/>
      <c r="E336" s="40"/>
      <c r="F336" s="67"/>
    </row>
    <row r="337" spans="1:6" ht="11.25" customHeight="1">
      <c r="A337" s="195"/>
      <c r="B337" s="36"/>
      <c r="C337" s="36"/>
      <c r="D337" s="40"/>
      <c r="E337" s="40"/>
      <c r="F337" s="67"/>
    </row>
    <row r="338" spans="1:6">
      <c r="A338" s="200" t="s">
        <v>379</v>
      </c>
      <c r="B338" s="36"/>
      <c r="C338" s="36"/>
      <c r="D338" s="40"/>
      <c r="E338" s="40"/>
      <c r="F338" s="67"/>
    </row>
    <row r="339" spans="1:6" ht="13.5" thickBot="1">
      <c r="A339" s="223" t="s">
        <v>380</v>
      </c>
      <c r="B339" s="36"/>
      <c r="C339" s="36"/>
      <c r="D339" s="40"/>
      <c r="E339" s="40"/>
      <c r="F339" s="67"/>
    </row>
    <row r="340" spans="1:6" ht="13.5" thickBot="1">
      <c r="A340" s="365" t="s">
        <v>51</v>
      </c>
      <c r="B340" s="364" t="s">
        <v>52</v>
      </c>
      <c r="C340" s="364" t="s">
        <v>33</v>
      </c>
      <c r="D340" s="363" t="s">
        <v>184</v>
      </c>
      <c r="E340" s="363" t="s">
        <v>53</v>
      </c>
      <c r="F340" s="362" t="s">
        <v>54</v>
      </c>
    </row>
    <row r="341" spans="1:6">
      <c r="A341" s="201" t="s">
        <v>368</v>
      </c>
      <c r="B341" s="10" t="s">
        <v>10</v>
      </c>
      <c r="C341" s="325">
        <v>1</v>
      </c>
      <c r="D341" s="313">
        <v>8240</v>
      </c>
      <c r="E341" s="11">
        <f>C341*D341</f>
        <v>8240</v>
      </c>
      <c r="F341" s="67"/>
    </row>
    <row r="342" spans="1:6">
      <c r="A342" s="217" t="s">
        <v>233</v>
      </c>
      <c r="B342" s="13" t="s">
        <v>81</v>
      </c>
      <c r="C342" s="312">
        <v>5</v>
      </c>
      <c r="D342" s="51"/>
      <c r="E342" s="14"/>
      <c r="F342" s="67"/>
    </row>
    <row r="343" spans="1:6">
      <c r="A343" s="217" t="s">
        <v>234</v>
      </c>
      <c r="B343" s="13" t="s">
        <v>81</v>
      </c>
      <c r="C343" s="312">
        <v>0</v>
      </c>
      <c r="D343" s="14"/>
      <c r="E343" s="14"/>
      <c r="F343" s="214"/>
    </row>
    <row r="344" spans="1:6">
      <c r="A344" s="217" t="s">
        <v>235</v>
      </c>
      <c r="B344" s="13" t="s">
        <v>2</v>
      </c>
      <c r="C344" s="71">
        <f>IFERROR(VLOOKUP(C342,'5. Depreciação'!A$3:B$17,2,FALSE),0)</f>
        <v>55</v>
      </c>
      <c r="D344" s="14">
        <f>E341</f>
        <v>8240</v>
      </c>
      <c r="E344" s="14">
        <f>C344*D344/100</f>
        <v>4532</v>
      </c>
      <c r="F344" s="67"/>
    </row>
    <row r="345" spans="1:6" ht="13.5" thickBot="1">
      <c r="A345" s="225" t="s">
        <v>237</v>
      </c>
      <c r="B345" s="161" t="s">
        <v>8</v>
      </c>
      <c r="C345" s="161">
        <f>C342*12</f>
        <v>60</v>
      </c>
      <c r="D345" s="162">
        <f>IF(C343&lt;=C342,E344,0)</f>
        <v>4532</v>
      </c>
      <c r="E345" s="162">
        <f>IFERROR(D345/C345,0)</f>
        <v>75.533333333333331</v>
      </c>
      <c r="F345" s="67"/>
    </row>
    <row r="346" spans="1:6" ht="13.5" thickTop="1">
      <c r="A346" s="218" t="s">
        <v>238</v>
      </c>
      <c r="B346" s="151"/>
      <c r="C346" s="151"/>
      <c r="D346" s="152"/>
      <c r="E346" s="54">
        <f>E345</f>
        <v>75.533333333333331</v>
      </c>
      <c r="F346" s="67"/>
    </row>
    <row r="347" spans="1:6" ht="13.5" thickBot="1">
      <c r="A347" s="218" t="s">
        <v>239</v>
      </c>
      <c r="B347" s="53" t="s">
        <v>10</v>
      </c>
      <c r="C347" s="312">
        <v>80</v>
      </c>
      <c r="D347" s="54">
        <f>E346</f>
        <v>75.533333333333331</v>
      </c>
      <c r="E347" s="58">
        <f>C347*D347</f>
        <v>6042.6666666666661</v>
      </c>
      <c r="F347" s="67"/>
    </row>
    <row r="348" spans="1:6" ht="13.5" thickBot="1">
      <c r="A348" s="228"/>
      <c r="B348" s="157"/>
      <c r="C348" s="414" t="s">
        <v>159</v>
      </c>
      <c r="D348" s="419"/>
      <c r="E348" s="235">
        <f>B56</f>
        <v>1</v>
      </c>
      <c r="F348" s="369">
        <f>E347*E348</f>
        <v>6042.6666666666661</v>
      </c>
    </row>
    <row r="349" spans="1:6" ht="11.25" customHeight="1">
      <c r="A349" s="204"/>
      <c r="B349" s="36"/>
      <c r="C349" s="36"/>
      <c r="D349" s="40"/>
      <c r="E349" s="40"/>
      <c r="F349" s="67"/>
    </row>
    <row r="350" spans="1:6" ht="13.5" thickBot="1">
      <c r="A350" s="223" t="s">
        <v>381</v>
      </c>
      <c r="B350" s="36"/>
      <c r="C350" s="36"/>
      <c r="D350" s="40"/>
      <c r="E350" s="40"/>
      <c r="F350" s="67"/>
    </row>
    <row r="351" spans="1:6" ht="13.5" thickBot="1">
      <c r="A351" s="365" t="s">
        <v>51</v>
      </c>
      <c r="B351" s="364" t="s">
        <v>52</v>
      </c>
      <c r="C351" s="364" t="s">
        <v>33</v>
      </c>
      <c r="D351" s="363" t="s">
        <v>184</v>
      </c>
      <c r="E351" s="363" t="s">
        <v>53</v>
      </c>
      <c r="F351" s="362" t="s">
        <v>54</v>
      </c>
    </row>
    <row r="352" spans="1:6">
      <c r="A352" s="201" t="s">
        <v>243</v>
      </c>
      <c r="B352" s="10" t="s">
        <v>10</v>
      </c>
      <c r="C352" s="158">
        <v>1</v>
      </c>
      <c r="D352" s="11">
        <f>D341</f>
        <v>8240</v>
      </c>
      <c r="E352" s="11">
        <f>C352*D352</f>
        <v>8240</v>
      </c>
      <c r="F352" s="214"/>
    </row>
    <row r="353" spans="1:6">
      <c r="A353" s="202" t="s">
        <v>168</v>
      </c>
      <c r="B353" s="13" t="s">
        <v>2</v>
      </c>
      <c r="C353" s="159">
        <f>C210</f>
        <v>4.25</v>
      </c>
      <c r="D353" s="14"/>
      <c r="E353" s="14"/>
      <c r="F353" s="214"/>
    </row>
    <row r="354" spans="1:6">
      <c r="A354" s="217" t="s">
        <v>240</v>
      </c>
      <c r="B354" s="13" t="s">
        <v>27</v>
      </c>
      <c r="C354" s="75">
        <f>IFERROR(IF(C343&lt;=C342,E341-(C344/(100*C342)*C343)*E341,E341-E344),0)</f>
        <v>8240</v>
      </c>
      <c r="D354" s="14"/>
      <c r="E354" s="14"/>
      <c r="F354" s="214"/>
    </row>
    <row r="355" spans="1:6">
      <c r="A355" s="217" t="s">
        <v>241</v>
      </c>
      <c r="B355" s="13" t="s">
        <v>27</v>
      </c>
      <c r="C355" s="51">
        <f>IFERROR(IF(C343&gt;=C342,C354,((((C354)-(E341-E344))*(((C342-C343)+1)/(2*(C342-C343))))+(E341-E344))),0)</f>
        <v>6427.2</v>
      </c>
      <c r="D355" s="14"/>
      <c r="E355" s="14"/>
      <c r="F355" s="214"/>
    </row>
    <row r="356" spans="1:6" ht="13.5" thickBot="1">
      <c r="A356" s="225" t="s">
        <v>242</v>
      </c>
      <c r="B356" s="161" t="s">
        <v>27</v>
      </c>
      <c r="C356" s="161"/>
      <c r="D356" s="163">
        <f>C353*C355/12/100</f>
        <v>22.762999999999998</v>
      </c>
      <c r="E356" s="162">
        <f>D356</f>
        <v>22.762999999999998</v>
      </c>
      <c r="F356" s="214"/>
    </row>
    <row r="357" spans="1:6" ht="13.5" thickTop="1">
      <c r="A357" s="203" t="s">
        <v>244</v>
      </c>
      <c r="B357" s="191"/>
      <c r="C357" s="191"/>
      <c r="D357" s="22"/>
      <c r="E357" s="58">
        <f>E356</f>
        <v>22.762999999999998</v>
      </c>
      <c r="F357" s="214"/>
    </row>
    <row r="358" spans="1:6" ht="13.5" thickBot="1">
      <c r="A358" s="218" t="s">
        <v>245</v>
      </c>
      <c r="B358" s="53" t="s">
        <v>10</v>
      </c>
      <c r="C358" s="159">
        <f>C$347</f>
        <v>80</v>
      </c>
      <c r="D358" s="54">
        <f>E357</f>
        <v>22.762999999999998</v>
      </c>
      <c r="E358" s="58">
        <f>C358*D358</f>
        <v>1821.04</v>
      </c>
      <c r="F358" s="214"/>
    </row>
    <row r="359" spans="1:6" ht="13.5" thickBot="1">
      <c r="A359" s="204"/>
      <c r="B359" s="36"/>
      <c r="C359" s="414" t="s">
        <v>159</v>
      </c>
      <c r="D359" s="419"/>
      <c r="E359" s="33">
        <f>B56</f>
        <v>1</v>
      </c>
      <c r="F359" s="369">
        <f>E358*E359</f>
        <v>1821.04</v>
      </c>
    </row>
    <row r="360" spans="1:6" ht="11.25" customHeight="1">
      <c r="A360" s="204"/>
      <c r="B360" s="36"/>
      <c r="C360" s="36"/>
      <c r="D360" s="40"/>
      <c r="E360" s="40"/>
      <c r="F360" s="67"/>
    </row>
    <row r="361" spans="1:6" ht="13.5" thickBot="1">
      <c r="A361" s="200" t="s">
        <v>382</v>
      </c>
      <c r="B361" s="36"/>
      <c r="C361" s="36"/>
      <c r="D361" s="40"/>
      <c r="E361" s="40"/>
      <c r="F361" s="67"/>
    </row>
    <row r="362" spans="1:6" ht="13.5" thickBot="1">
      <c r="A362" s="365" t="s">
        <v>51</v>
      </c>
      <c r="B362" s="364" t="s">
        <v>52</v>
      </c>
      <c r="C362" s="364" t="s">
        <v>33</v>
      </c>
      <c r="D362" s="363" t="s">
        <v>184</v>
      </c>
      <c r="E362" s="363" t="s">
        <v>53</v>
      </c>
      <c r="F362" s="362" t="s">
        <v>54</v>
      </c>
    </row>
    <row r="363" spans="1:6" ht="13.5" thickBot="1">
      <c r="A363" s="201" t="s">
        <v>252</v>
      </c>
      <c r="B363" s="184" t="s">
        <v>253</v>
      </c>
      <c r="C363" s="159">
        <f>C$347</f>
        <v>80</v>
      </c>
      <c r="D363" s="313">
        <f>(D341*0.07)/12</f>
        <v>48.06666666666667</v>
      </c>
      <c r="E363" s="11">
        <f>C363*D363</f>
        <v>3845.3333333333335</v>
      </c>
      <c r="F363" s="67"/>
    </row>
    <row r="364" spans="1:6" ht="13.5" thickBot="1">
      <c r="A364" s="195"/>
      <c r="B364" s="36"/>
      <c r="C364" s="36"/>
      <c r="D364" s="40"/>
      <c r="E364" s="40"/>
      <c r="F364" s="369">
        <f>E363</f>
        <v>3845.3333333333335</v>
      </c>
    </row>
    <row r="365" spans="1:6" ht="11.25" customHeight="1">
      <c r="A365" s="195"/>
      <c r="B365" s="36"/>
      <c r="C365" s="36"/>
      <c r="D365" s="40"/>
      <c r="E365" s="40"/>
      <c r="F365" s="67"/>
    </row>
    <row r="366" spans="1:6">
      <c r="A366" s="200" t="s">
        <v>383</v>
      </c>
      <c r="B366" s="36"/>
      <c r="C366" s="36"/>
      <c r="D366" s="40"/>
      <c r="E366" s="40"/>
      <c r="F366" s="67"/>
    </row>
    <row r="367" spans="1:6" ht="13.5" thickBot="1">
      <c r="A367" s="229"/>
      <c r="B367" s="36"/>
      <c r="C367" s="36"/>
      <c r="D367" s="40"/>
      <c r="E367" s="40"/>
      <c r="F367" s="67"/>
    </row>
    <row r="368" spans="1:6" ht="13.5" thickBot="1">
      <c r="A368" s="365" t="s">
        <v>51</v>
      </c>
      <c r="B368" s="364" t="s">
        <v>52</v>
      </c>
      <c r="C368" s="364" t="s">
        <v>33</v>
      </c>
      <c r="D368" s="363" t="s">
        <v>184</v>
      </c>
      <c r="E368" s="363" t="s">
        <v>53</v>
      </c>
      <c r="F368" s="362" t="s">
        <v>54</v>
      </c>
    </row>
    <row r="369" spans="1:6" ht="13.5" thickBot="1">
      <c r="A369" s="201" t="s">
        <v>267</v>
      </c>
      <c r="B369" s="184" t="s">
        <v>266</v>
      </c>
      <c r="C369" s="324">
        <v>8</v>
      </c>
      <c r="D369" s="313">
        <v>150</v>
      </c>
      <c r="E369" s="11">
        <f>C369*D369</f>
        <v>1200</v>
      </c>
      <c r="F369" s="67"/>
    </row>
    <row r="370" spans="1:6" ht="13.5" thickBot="1">
      <c r="A370" s="195"/>
      <c r="B370" s="36"/>
      <c r="C370" s="36"/>
      <c r="D370" s="40"/>
      <c r="E370" s="40"/>
      <c r="F370" s="369">
        <f>E369</f>
        <v>1200</v>
      </c>
    </row>
    <row r="371" spans="1:6" ht="11.25" customHeight="1" thickBot="1">
      <c r="A371" s="195"/>
      <c r="B371" s="36"/>
      <c r="C371" s="36"/>
      <c r="D371" s="40"/>
      <c r="E371" s="40"/>
      <c r="F371" s="67"/>
    </row>
    <row r="372" spans="1:6" ht="13.5" thickBot="1">
      <c r="A372" s="15" t="s">
        <v>177</v>
      </c>
      <c r="B372" s="16"/>
      <c r="C372" s="16"/>
      <c r="D372" s="17"/>
      <c r="E372" s="18"/>
      <c r="F372" s="369">
        <f>+SUM(F194:F371)</f>
        <v>25529.222365835885</v>
      </c>
    </row>
    <row r="373" spans="1:6" ht="11.25" customHeight="1">
      <c r="A373" s="195"/>
      <c r="B373" s="36"/>
      <c r="C373" s="36"/>
      <c r="D373" s="40"/>
      <c r="E373" s="40"/>
      <c r="F373" s="67"/>
    </row>
    <row r="374" spans="1:6">
      <c r="A374" s="199" t="s">
        <v>56</v>
      </c>
      <c r="B374" s="23"/>
      <c r="C374" s="23"/>
      <c r="D374" s="24"/>
      <c r="E374" s="24"/>
      <c r="F374" s="230"/>
    </row>
    <row r="375" spans="1:6" ht="11.25" customHeight="1" thickBot="1">
      <c r="A375" s="199"/>
      <c r="B375" s="36"/>
      <c r="C375" s="36"/>
      <c r="D375" s="40"/>
      <c r="E375" s="40"/>
      <c r="F375" s="67"/>
    </row>
    <row r="376" spans="1:6" ht="13.5" thickBot="1">
      <c r="A376" s="365" t="s">
        <v>51</v>
      </c>
      <c r="B376" s="364" t="s">
        <v>52</v>
      </c>
      <c r="C376" s="364" t="s">
        <v>33</v>
      </c>
      <c r="D376" s="363" t="s">
        <v>184</v>
      </c>
      <c r="E376" s="363" t="s">
        <v>53</v>
      </c>
      <c r="F376" s="362" t="s">
        <v>54</v>
      </c>
    </row>
    <row r="377" spans="1:6">
      <c r="A377" s="210" t="s">
        <v>273</v>
      </c>
      <c r="B377" s="183" t="s">
        <v>277</v>
      </c>
      <c r="C377" s="327">
        <f>2/12</f>
        <v>0.16666666666666666</v>
      </c>
      <c r="D377" s="329">
        <v>33.29</v>
      </c>
      <c r="E377" s="14">
        <f>C377*D377</f>
        <v>5.5483333333333329</v>
      </c>
      <c r="F377" s="231"/>
    </row>
    <row r="378" spans="1:6">
      <c r="A378" s="210" t="s">
        <v>274</v>
      </c>
      <c r="B378" s="183" t="s">
        <v>277</v>
      </c>
      <c r="C378" s="327">
        <f>2/12</f>
        <v>0.16666666666666666</v>
      </c>
      <c r="D378" s="329">
        <v>35.9</v>
      </c>
      <c r="E378" s="14">
        <f>C378*D378</f>
        <v>5.9833333333333325</v>
      </c>
      <c r="F378" s="231"/>
    </row>
    <row r="379" spans="1:6">
      <c r="A379" s="210" t="s">
        <v>279</v>
      </c>
      <c r="B379" s="183" t="s">
        <v>277</v>
      </c>
      <c r="C379" s="327">
        <f>8/12</f>
        <v>0.66666666666666663</v>
      </c>
      <c r="D379" s="329">
        <v>17.100000000000001</v>
      </c>
      <c r="E379" s="14">
        <f>C379*D379</f>
        <v>11.4</v>
      </c>
      <c r="F379" s="231"/>
    </row>
    <row r="380" spans="1:6">
      <c r="A380" s="210" t="s">
        <v>275</v>
      </c>
      <c r="B380" s="183" t="s">
        <v>277</v>
      </c>
      <c r="C380" s="327">
        <f>4/12</f>
        <v>0.33333333333333331</v>
      </c>
      <c r="D380" s="329">
        <v>18.28</v>
      </c>
      <c r="E380" s="14">
        <f>C380*D380</f>
        <v>6.0933333333333337</v>
      </c>
      <c r="F380" s="231"/>
    </row>
    <row r="381" spans="1:6">
      <c r="A381" s="210" t="s">
        <v>278</v>
      </c>
      <c r="B381" s="183" t="s">
        <v>277</v>
      </c>
      <c r="C381" s="327">
        <f>4/12</f>
        <v>0.33333333333333331</v>
      </c>
      <c r="D381" s="329">
        <v>17.899999999999999</v>
      </c>
      <c r="E381" s="14">
        <f t="shared" ref="E381:E383" si="10">C381*D381</f>
        <v>5.9666666666666659</v>
      </c>
      <c r="F381" s="231"/>
    </row>
    <row r="382" spans="1:6">
      <c r="A382" s="210" t="s">
        <v>276</v>
      </c>
      <c r="B382" s="183" t="s">
        <v>277</v>
      </c>
      <c r="C382" s="327">
        <f>4/12</f>
        <v>0.33333333333333331</v>
      </c>
      <c r="D382" s="329">
        <v>17.010000000000002</v>
      </c>
      <c r="E382" s="14">
        <f t="shared" si="10"/>
        <v>5.67</v>
      </c>
      <c r="F382" s="231"/>
    </row>
    <row r="383" spans="1:6" ht="26.25" thickBot="1">
      <c r="A383" s="357" t="s">
        <v>365</v>
      </c>
      <c r="B383" s="183" t="s">
        <v>354</v>
      </c>
      <c r="C383" s="358">
        <v>3200</v>
      </c>
      <c r="D383" s="384">
        <f>(23.56*3)/5000</f>
        <v>1.4135999999999999E-2</v>
      </c>
      <c r="E383" s="241">
        <f t="shared" si="10"/>
        <v>45.235199999999999</v>
      </c>
      <c r="F383" s="231"/>
    </row>
    <row r="384" spans="1:6" ht="13.5" thickBot="1">
      <c r="A384" s="199"/>
      <c r="B384" s="23"/>
      <c r="C384" s="23"/>
      <c r="D384" s="23"/>
      <c r="E384" s="24"/>
      <c r="F384" s="369">
        <f>SUM(E377:E383)</f>
        <v>85.896866666666668</v>
      </c>
    </row>
    <row r="385" spans="1:6" ht="11.25" customHeight="1" thickBot="1">
      <c r="A385" s="195"/>
      <c r="B385" s="36"/>
      <c r="C385" s="36"/>
      <c r="D385" s="40"/>
      <c r="E385" s="40"/>
      <c r="F385" s="67"/>
    </row>
    <row r="386" spans="1:6" ht="13.5" thickBot="1">
      <c r="A386" s="15" t="s">
        <v>178</v>
      </c>
      <c r="B386" s="16"/>
      <c r="C386" s="16"/>
      <c r="D386" s="17"/>
      <c r="E386" s="18"/>
      <c r="F386" s="369">
        <f>+F384</f>
        <v>85.896866666666668</v>
      </c>
    </row>
    <row r="387" spans="1:6" ht="11.25" customHeight="1">
      <c r="A387" s="195"/>
      <c r="B387" s="36"/>
      <c r="C387" s="36"/>
      <c r="D387" s="40"/>
      <c r="E387" s="40"/>
      <c r="F387" s="67"/>
    </row>
    <row r="388" spans="1:6">
      <c r="A388" s="199" t="s">
        <v>57</v>
      </c>
      <c r="B388" s="23"/>
      <c r="C388" s="23"/>
      <c r="D388" s="24"/>
      <c r="E388" s="24"/>
      <c r="F388" s="230"/>
    </row>
    <row r="389" spans="1:6" ht="11.25" customHeight="1" thickBot="1">
      <c r="A389" s="199" t="s">
        <v>331</v>
      </c>
      <c r="B389" s="36"/>
      <c r="C389" s="36"/>
      <c r="D389" s="40"/>
      <c r="E389" s="40"/>
      <c r="F389" s="67"/>
    </row>
    <row r="390" spans="1:6" ht="13.5" thickBot="1">
      <c r="A390" s="365" t="s">
        <v>51</v>
      </c>
      <c r="B390" s="364" t="s">
        <v>52</v>
      </c>
      <c r="C390" s="364" t="s">
        <v>33</v>
      </c>
      <c r="D390" s="363" t="s">
        <v>184</v>
      </c>
      <c r="E390" s="363" t="s">
        <v>53</v>
      </c>
      <c r="F390" s="362" t="s">
        <v>54</v>
      </c>
    </row>
    <row r="391" spans="1:6">
      <c r="A391" s="206" t="s">
        <v>175</v>
      </c>
      <c r="B391" s="35" t="s">
        <v>10</v>
      </c>
      <c r="C391" s="236">
        <f>E51</f>
        <v>1</v>
      </c>
      <c r="D391" s="328">
        <v>130</v>
      </c>
      <c r="E391" s="14">
        <f>+D391*C391</f>
        <v>130</v>
      </c>
      <c r="F391" s="231"/>
    </row>
    <row r="392" spans="1:6">
      <c r="A392" s="206" t="s">
        <v>49</v>
      </c>
      <c r="B392" s="35" t="s">
        <v>8</v>
      </c>
      <c r="C392" s="299">
        <v>12</v>
      </c>
      <c r="D392" s="49">
        <f>SUM(E391:E391)</f>
        <v>130</v>
      </c>
      <c r="E392" s="49">
        <f>+D392/C392</f>
        <v>10.833333333333334</v>
      </c>
      <c r="F392" s="231"/>
    </row>
    <row r="393" spans="1:6">
      <c r="A393" s="206" t="s">
        <v>176</v>
      </c>
      <c r="B393" s="13" t="s">
        <v>10</v>
      </c>
      <c r="C393" s="45">
        <f>+C391</f>
        <v>1</v>
      </c>
      <c r="D393" s="320">
        <v>90</v>
      </c>
      <c r="E393" s="14">
        <f>C393*D393</f>
        <v>90</v>
      </c>
      <c r="F393" s="231"/>
    </row>
    <row r="394" spans="1:6" ht="13.5" thickBot="1">
      <c r="A394" s="206" t="s">
        <v>31</v>
      </c>
      <c r="B394" s="35" t="s">
        <v>8</v>
      </c>
      <c r="C394" s="81">
        <v>1</v>
      </c>
      <c r="D394" s="49">
        <f>+E393</f>
        <v>90</v>
      </c>
      <c r="E394" s="49">
        <f>+D394/C394</f>
        <v>90</v>
      </c>
      <c r="F394" s="231"/>
    </row>
    <row r="395" spans="1:6" ht="13.5" thickBot="1">
      <c r="A395" s="232"/>
      <c r="B395" s="50"/>
      <c r="C395" s="414" t="s">
        <v>159</v>
      </c>
      <c r="D395" s="419"/>
      <c r="E395" s="396">
        <f>$B$54</f>
        <v>0.5</v>
      </c>
      <c r="F395" s="374">
        <f>(E392+E394)*E395</f>
        <v>50.416666666666664</v>
      </c>
    </row>
    <row r="396" spans="1:6" ht="11.25" customHeight="1" thickBot="1">
      <c r="A396" s="200" t="s">
        <v>330</v>
      </c>
      <c r="B396" s="36"/>
      <c r="C396" s="36"/>
      <c r="D396" s="40"/>
      <c r="E396" s="40"/>
      <c r="F396" s="67"/>
    </row>
    <row r="397" spans="1:6" ht="13.5" thickBot="1">
      <c r="A397" s="365" t="s">
        <v>51</v>
      </c>
      <c r="B397" s="364" t="s">
        <v>52</v>
      </c>
      <c r="C397" s="364" t="s">
        <v>33</v>
      </c>
      <c r="D397" s="363" t="s">
        <v>184</v>
      </c>
      <c r="E397" s="363" t="s">
        <v>53</v>
      </c>
      <c r="F397" s="362" t="s">
        <v>54</v>
      </c>
    </row>
    <row r="398" spans="1:6">
      <c r="A398" s="202" t="s">
        <v>175</v>
      </c>
      <c r="B398" s="35" t="s">
        <v>10</v>
      </c>
      <c r="C398" s="236">
        <f>E52</f>
        <v>1</v>
      </c>
      <c r="D398" s="240">
        <f>D$391</f>
        <v>130</v>
      </c>
      <c r="E398" s="14">
        <f>+D398*C398</f>
        <v>130</v>
      </c>
      <c r="F398" s="231"/>
    </row>
    <row r="399" spans="1:6">
      <c r="A399" s="202" t="s">
        <v>49</v>
      </c>
      <c r="B399" s="35" t="s">
        <v>8</v>
      </c>
      <c r="C399" s="81">
        <v>12</v>
      </c>
      <c r="D399" s="49">
        <f>SUM(E398:E398)</f>
        <v>130</v>
      </c>
      <c r="E399" s="49">
        <f>+D399/C399</f>
        <v>10.833333333333334</v>
      </c>
      <c r="F399" s="231"/>
    </row>
    <row r="400" spans="1:6">
      <c r="A400" s="202" t="s">
        <v>176</v>
      </c>
      <c r="B400" s="13" t="s">
        <v>10</v>
      </c>
      <c r="C400" s="45">
        <f>+C398</f>
        <v>1</v>
      </c>
      <c r="D400" s="240">
        <f>D$393</f>
        <v>90</v>
      </c>
      <c r="E400" s="14">
        <f>C400*D400</f>
        <v>90</v>
      </c>
      <c r="F400" s="231"/>
    </row>
    <row r="401" spans="1:6" ht="13.5" thickBot="1">
      <c r="A401" s="202" t="s">
        <v>31</v>
      </c>
      <c r="B401" s="35" t="s">
        <v>8</v>
      </c>
      <c r="C401" s="81">
        <v>1</v>
      </c>
      <c r="D401" s="49">
        <f>+E400</f>
        <v>90</v>
      </c>
      <c r="E401" s="49">
        <f>+D401/C401</f>
        <v>90</v>
      </c>
      <c r="F401" s="231"/>
    </row>
    <row r="402" spans="1:6" ht="13.5" thickBot="1">
      <c r="A402" s="232"/>
      <c r="B402" s="50"/>
      <c r="C402" s="414" t="s">
        <v>159</v>
      </c>
      <c r="D402" s="419"/>
      <c r="E402" s="396">
        <f>B55</f>
        <v>8.3299999999999999E-2</v>
      </c>
      <c r="F402" s="374">
        <f>(E399+E401)*E402</f>
        <v>8.3994166666666654</v>
      </c>
    </row>
    <row r="403" spans="1:6" s="34" customFormat="1" ht="11.25" customHeight="1">
      <c r="A403" s="242"/>
      <c r="B403" s="237"/>
      <c r="C403" s="237"/>
      <c r="D403" s="238"/>
      <c r="E403" s="238"/>
      <c r="F403" s="239"/>
    </row>
    <row r="404" spans="1:6" s="34" customFormat="1" ht="11.25" customHeight="1" thickBot="1">
      <c r="A404" s="195"/>
      <c r="B404" s="36"/>
      <c r="C404" s="36"/>
      <c r="D404" s="40"/>
      <c r="E404" s="40"/>
      <c r="F404" s="67"/>
    </row>
    <row r="405" spans="1:6" ht="13.5" thickBot="1">
      <c r="A405" s="15" t="s">
        <v>174</v>
      </c>
      <c r="B405" s="16"/>
      <c r="C405" s="16"/>
      <c r="D405" s="17"/>
      <c r="E405" s="18"/>
      <c r="F405" s="369">
        <f>+F395+F402</f>
        <v>58.816083333333331</v>
      </c>
    </row>
    <row r="406" spans="1:6" ht="11.25" customHeight="1">
      <c r="A406" s="195"/>
      <c r="B406" s="36"/>
      <c r="C406" s="36"/>
      <c r="D406" s="40"/>
      <c r="E406" s="40"/>
      <c r="F406" s="67"/>
    </row>
    <row r="407" spans="1:6" ht="11.25" customHeight="1" thickBot="1">
      <c r="A407" s="195"/>
      <c r="B407" s="36"/>
      <c r="C407" s="36"/>
      <c r="D407" s="40"/>
      <c r="E407" s="40"/>
      <c r="F407" s="67"/>
    </row>
    <row r="408" spans="1:6" ht="17.25" customHeight="1" thickBot="1">
      <c r="A408" s="15" t="s">
        <v>314</v>
      </c>
      <c r="B408" s="19"/>
      <c r="C408" s="19"/>
      <c r="D408" s="20"/>
      <c r="E408" s="21"/>
      <c r="F408" s="367">
        <f>+F156+F188+F372+F386+F405</f>
        <v>29621.948339192815</v>
      </c>
    </row>
    <row r="409" spans="1:6" ht="11.25" customHeight="1">
      <c r="A409" s="195"/>
      <c r="B409" s="36"/>
      <c r="C409" s="36"/>
      <c r="D409" s="40"/>
      <c r="E409" s="40"/>
      <c r="F409" s="67"/>
    </row>
    <row r="410" spans="1:6" ht="11.25" customHeight="1">
      <c r="A410" s="195"/>
      <c r="B410" s="36"/>
      <c r="C410" s="36"/>
      <c r="D410" s="40"/>
      <c r="E410" s="40"/>
      <c r="F410" s="67"/>
    </row>
    <row r="411" spans="1:6" ht="13.5" thickBot="1">
      <c r="A411" s="199" t="s">
        <v>366</v>
      </c>
      <c r="B411" s="36"/>
      <c r="C411" s="36"/>
      <c r="D411" s="40"/>
      <c r="E411" s="40"/>
      <c r="F411" s="67"/>
    </row>
    <row r="412" spans="1:6" ht="13.5" thickBot="1">
      <c r="A412" s="365" t="s">
        <v>51</v>
      </c>
      <c r="B412" s="364" t="s">
        <v>52</v>
      </c>
      <c r="C412" s="364" t="s">
        <v>33</v>
      </c>
      <c r="D412" s="363" t="s">
        <v>184</v>
      </c>
      <c r="E412" s="363" t="s">
        <v>53</v>
      </c>
      <c r="F412" s="362" t="s">
        <v>54</v>
      </c>
    </row>
    <row r="413" spans="1:6" ht="13.5" thickBot="1">
      <c r="A413" s="212" t="s">
        <v>30</v>
      </c>
      <c r="B413" s="10" t="s">
        <v>2</v>
      </c>
      <c r="C413" s="70">
        <f>'4.BDI'!C13*100</f>
        <v>31.75</v>
      </c>
      <c r="D413" s="11">
        <f>+F408</f>
        <v>29621.948339192815</v>
      </c>
      <c r="E413" s="11">
        <f>C413*D413/100</f>
        <v>9404.9685976937199</v>
      </c>
      <c r="F413" s="67"/>
    </row>
    <row r="414" spans="1:6" ht="13.5" thickBot="1">
      <c r="A414" s="195"/>
      <c r="B414" s="36"/>
      <c r="C414" s="36"/>
      <c r="D414" s="40"/>
      <c r="E414" s="40"/>
      <c r="F414" s="369">
        <f>+E413</f>
        <v>9404.9685976937199</v>
      </c>
    </row>
    <row r="415" spans="1:6" ht="11.25" customHeight="1" thickBot="1">
      <c r="A415" s="195"/>
      <c r="B415" s="36"/>
      <c r="C415" s="36"/>
      <c r="D415" s="40"/>
      <c r="E415" s="40"/>
      <c r="F415" s="67"/>
    </row>
    <row r="416" spans="1:6" ht="13.5" thickBot="1">
      <c r="A416" s="15" t="s">
        <v>315</v>
      </c>
      <c r="B416" s="19"/>
      <c r="C416" s="19"/>
      <c r="D416" s="20"/>
      <c r="E416" s="21"/>
      <c r="F416" s="367">
        <f>F414</f>
        <v>9404.9685976937199</v>
      </c>
    </row>
    <row r="417" spans="1:6" ht="13.5" thickBot="1">
      <c r="A417" s="199"/>
      <c r="B417" s="23"/>
      <c r="C417" s="23"/>
      <c r="D417" s="24"/>
      <c r="E417" s="24"/>
      <c r="F417" s="230"/>
    </row>
    <row r="418" spans="1:6" ht="24.75" customHeight="1" thickBot="1">
      <c r="A418" s="15" t="s">
        <v>316</v>
      </c>
      <c r="B418" s="19"/>
      <c r="C418" s="19"/>
      <c r="D418" s="20"/>
      <c r="E418" s="21"/>
      <c r="F418" s="375">
        <f>F408+F416</f>
        <v>39026.916936886533</v>
      </c>
    </row>
    <row r="419" spans="1:6" ht="12.6" customHeight="1">
      <c r="A419" s="233"/>
      <c r="B419" s="37"/>
      <c r="C419" s="37"/>
      <c r="D419" s="38"/>
      <c r="E419" s="38"/>
      <c r="F419" s="234"/>
    </row>
    <row r="420" spans="1:6" ht="11.25" customHeight="1">
      <c r="A420" s="195"/>
      <c r="B420" s="36"/>
      <c r="C420" s="36"/>
      <c r="D420" s="40"/>
      <c r="E420" s="40"/>
      <c r="F420" s="67"/>
    </row>
    <row r="421" spans="1:6" ht="13.5" thickBot="1">
      <c r="A421" s="199" t="s">
        <v>367</v>
      </c>
      <c r="B421" s="36"/>
      <c r="C421" s="36"/>
      <c r="D421" s="40"/>
      <c r="E421" s="40"/>
      <c r="F421" s="67"/>
    </row>
    <row r="422" spans="1:6" ht="13.5" thickBot="1">
      <c r="A422" s="365" t="s">
        <v>51</v>
      </c>
      <c r="B422" s="364" t="s">
        <v>52</v>
      </c>
      <c r="C422" s="364" t="s">
        <v>33</v>
      </c>
      <c r="D422" s="363" t="s">
        <v>184</v>
      </c>
      <c r="E422" s="363" t="s">
        <v>53</v>
      </c>
      <c r="F422" s="362" t="s">
        <v>54</v>
      </c>
    </row>
    <row r="423" spans="1:6" ht="13.5" thickBot="1">
      <c r="A423" s="212" t="s">
        <v>30</v>
      </c>
      <c r="B423" s="10" t="s">
        <v>2</v>
      </c>
      <c r="C423" s="70">
        <f>'4.BDI'!C26*100</f>
        <v>23.93</v>
      </c>
      <c r="D423" s="11">
        <f>F408</f>
        <v>29621.948339192815</v>
      </c>
      <c r="E423" s="11">
        <f>C423*D423/100</f>
        <v>7088.5322375688411</v>
      </c>
      <c r="F423" s="67"/>
    </row>
    <row r="424" spans="1:6" ht="13.5" thickBot="1">
      <c r="A424" s="195"/>
      <c r="B424" s="36"/>
      <c r="C424" s="36"/>
      <c r="D424" s="40"/>
      <c r="E424" s="40"/>
      <c r="F424" s="369">
        <f>+E423</f>
        <v>7088.5322375688411</v>
      </c>
    </row>
    <row r="425" spans="1:6" ht="11.25" customHeight="1" thickBot="1">
      <c r="A425" s="195"/>
      <c r="B425" s="36"/>
      <c r="C425" s="36"/>
      <c r="D425" s="40"/>
      <c r="E425" s="40"/>
      <c r="F425" s="67"/>
    </row>
    <row r="426" spans="1:6" ht="13.5" thickBot="1">
      <c r="A426" s="15" t="s">
        <v>317</v>
      </c>
      <c r="B426" s="19"/>
      <c r="C426" s="19"/>
      <c r="D426" s="20"/>
      <c r="E426" s="21"/>
      <c r="F426" s="367">
        <f>F424</f>
        <v>7088.5322375688411</v>
      </c>
    </row>
    <row r="427" spans="1:6" ht="13.5" thickBot="1">
      <c r="A427" s="199"/>
      <c r="B427" s="23"/>
      <c r="C427" s="23"/>
      <c r="D427" s="24"/>
      <c r="E427" s="24"/>
      <c r="F427" s="230"/>
    </row>
    <row r="428" spans="1:6" ht="24.75" customHeight="1" thickBot="1">
      <c r="A428" s="15" t="s">
        <v>318</v>
      </c>
      <c r="B428" s="19"/>
      <c r="C428" s="19"/>
      <c r="D428" s="20"/>
      <c r="E428" s="21"/>
      <c r="F428" s="375">
        <f>F408+F426</f>
        <v>36710.480576761656</v>
      </c>
    </row>
    <row r="429" spans="1:6" s="4" customFormat="1">
      <c r="D429" s="385"/>
      <c r="E429" s="385"/>
      <c r="F429" s="385"/>
    </row>
    <row r="430" spans="1:6" s="4" customFormat="1">
      <c r="D430" s="385"/>
      <c r="E430" s="385"/>
      <c r="F430" s="385"/>
    </row>
    <row r="431" spans="1:6" s="4" customFormat="1">
      <c r="D431" s="385"/>
      <c r="E431" s="385"/>
      <c r="F431" s="385"/>
    </row>
    <row r="432" spans="1:6" s="4" customFormat="1">
      <c r="D432" s="385"/>
      <c r="E432" s="385"/>
      <c r="F432" s="385"/>
    </row>
    <row r="433" spans="2:6" s="4" customFormat="1">
      <c r="D433" s="385"/>
      <c r="E433" s="385"/>
      <c r="F433" s="385"/>
    </row>
    <row r="434" spans="2:6" s="4" customFormat="1">
      <c r="D434" s="385"/>
      <c r="E434" s="385"/>
      <c r="F434" s="385"/>
    </row>
    <row r="435" spans="2:6" s="4" customFormat="1">
      <c r="B435" s="413"/>
      <c r="C435" s="413"/>
      <c r="D435" s="413"/>
      <c r="E435" s="385"/>
      <c r="F435" s="385"/>
    </row>
    <row r="436" spans="2:6" s="4" customFormat="1">
      <c r="B436" s="413"/>
      <c r="C436" s="413"/>
      <c r="D436" s="413"/>
      <c r="E436" s="385"/>
      <c r="F436" s="385"/>
    </row>
    <row r="437" spans="2:6" s="4" customFormat="1">
      <c r="B437" s="413"/>
      <c r="C437" s="413"/>
      <c r="D437" s="413"/>
      <c r="E437" s="385"/>
      <c r="F437" s="385"/>
    </row>
    <row r="438" spans="2:6" s="4" customFormat="1">
      <c r="D438" s="385"/>
      <c r="E438" s="385"/>
      <c r="F438" s="7"/>
    </row>
    <row r="447" spans="2:6">
      <c r="F447" s="6"/>
    </row>
    <row r="448" spans="2:6" ht="9" customHeight="1">
      <c r="D448" s="6"/>
      <c r="E448" s="6"/>
    </row>
  </sheetData>
  <mergeCells count="36">
    <mergeCell ref="A66:A67"/>
    <mergeCell ref="A69:A70"/>
    <mergeCell ref="A84:A85"/>
    <mergeCell ref="A87:A88"/>
    <mergeCell ref="B435:D435"/>
    <mergeCell ref="C296:D296"/>
    <mergeCell ref="C304:D304"/>
    <mergeCell ref="C348:D348"/>
    <mergeCell ref="A90:A91"/>
    <mergeCell ref="A105:A106"/>
    <mergeCell ref="A108:A109"/>
    <mergeCell ref="A111:A112"/>
    <mergeCell ref="B436:D436"/>
    <mergeCell ref="B437:D437"/>
    <mergeCell ref="C186:D186"/>
    <mergeCell ref="C54:E54"/>
    <mergeCell ref="C78:D78"/>
    <mergeCell ref="C55:E55"/>
    <mergeCell ref="C56:E56"/>
    <mergeCell ref="C402:D402"/>
    <mergeCell ref="C206:D206"/>
    <mergeCell ref="C221:D221"/>
    <mergeCell ref="C229:D229"/>
    <mergeCell ref="C395:D395"/>
    <mergeCell ref="C120:D120"/>
    <mergeCell ref="C99:D99"/>
    <mergeCell ref="C359:D359"/>
    <mergeCell ref="C280:D280"/>
    <mergeCell ref="A63:A64"/>
    <mergeCell ref="A1:F1"/>
    <mergeCell ref="A3:F3"/>
    <mergeCell ref="A5:F5"/>
    <mergeCell ref="A43:E43"/>
    <mergeCell ref="C6:D6"/>
    <mergeCell ref="E6:F6"/>
    <mergeCell ref="C2:D2"/>
  </mergeCells>
  <phoneticPr fontId="11" type="noConversion"/>
  <hyperlinks>
    <hyperlink ref="A207" location="AbaRemun" display="3.1.2. Remuneração do Capital"/>
    <hyperlink ref="A192" location="AbaDeprec" display="3.1.1. Depreciação"/>
    <hyperlink ref="A350" location="AbaRemun" display="3.1.2. Remuneração do Capital"/>
    <hyperlink ref="A339" location="AbaDeprec" display="3.1.1. Depreciação"/>
    <hyperlink ref="A282" location="AbaRemun" display="3.1.2. Remuneração do Capital"/>
    <hyperlink ref="A266" location="AbaDeprec" display="3.1.1. Depreciação"/>
  </hyperlinks>
  <pageMargins left="0.78740157480314965" right="0.19685039370078741" top="0.59055118110236227" bottom="0.39370078740157483" header="0" footer="0"/>
  <pageSetup paperSize="9" scale="74" fitToHeight="8" orientation="portrait" r:id="rId1"/>
  <headerFooter alignWithMargins="0">
    <oddFooter>&amp;R&amp;P de &amp;N</oddFooter>
  </headerFooter>
  <rowBreaks count="5" manualBreakCount="5">
    <brk id="57" max="16383" man="1"/>
    <brk id="130" max="16383" man="1"/>
    <brk id="206" max="16383" man="1"/>
    <brk id="281" max="16383" man="1"/>
    <brk id="35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zoomScale="130" zoomScaleNormal="130" workbookViewId="0">
      <selection activeCell="A6" sqref="A6"/>
    </sheetView>
  </sheetViews>
  <sheetFormatPr defaultRowHeight="14.25"/>
  <cols>
    <col min="1" max="1" width="26.5703125" style="264" customWidth="1"/>
    <col min="2" max="2" width="9.7109375" style="264" bestFit="1" customWidth="1"/>
    <col min="3" max="3" width="11.140625" style="264" customWidth="1"/>
    <col min="4" max="4" width="6.28515625" style="271" bestFit="1" customWidth="1"/>
    <col min="5" max="5" width="8.42578125" style="264" bestFit="1" customWidth="1"/>
    <col min="6" max="6" width="10.85546875" style="264" bestFit="1" customWidth="1"/>
    <col min="7" max="7" width="10.85546875" style="264" customWidth="1"/>
    <col min="8" max="10" width="8.7109375" style="264" bestFit="1" customWidth="1"/>
    <col min="11" max="11" width="9.140625" style="264"/>
    <col min="12" max="12" width="47.28515625" style="264" customWidth="1"/>
    <col min="13" max="13" width="10.28515625" style="264" bestFit="1" customWidth="1"/>
    <col min="14" max="14" width="9.140625" style="264"/>
    <col min="15" max="15" width="10.28515625" style="264" bestFit="1" customWidth="1"/>
    <col min="16" max="16384" width="9.140625" style="264"/>
  </cols>
  <sheetData>
    <row r="1" spans="1:11" ht="15">
      <c r="A1" s="265" t="s">
        <v>369</v>
      </c>
      <c r="B1" s="265"/>
      <c r="C1" s="265"/>
      <c r="D1" s="270"/>
    </row>
    <row r="2" spans="1:11" ht="45">
      <c r="A2" s="266" t="s">
        <v>111</v>
      </c>
      <c r="B2" s="269" t="s">
        <v>306</v>
      </c>
      <c r="C2" s="269" t="s">
        <v>307</v>
      </c>
      <c r="D2" s="269" t="s">
        <v>286</v>
      </c>
      <c r="E2" s="269" t="s">
        <v>296</v>
      </c>
      <c r="F2" s="269" t="s">
        <v>291</v>
      </c>
      <c r="G2" s="269" t="s">
        <v>292</v>
      </c>
      <c r="H2" s="269" t="s">
        <v>293</v>
      </c>
      <c r="I2" s="269" t="s">
        <v>305</v>
      </c>
      <c r="J2" s="269" t="s">
        <v>295</v>
      </c>
    </row>
    <row r="3" spans="1:11">
      <c r="A3" s="267" t="s">
        <v>288</v>
      </c>
      <c r="B3" s="381">
        <v>1</v>
      </c>
      <c r="C3" s="382">
        <f>12/12</f>
        <v>1</v>
      </c>
      <c r="D3" s="268" t="s">
        <v>39</v>
      </c>
      <c r="E3" s="381">
        <v>8</v>
      </c>
      <c r="F3" s="272">
        <f>25/(E3*B3)</f>
        <v>3.125</v>
      </c>
      <c r="G3" s="272">
        <f>E3*F3*C3</f>
        <v>25</v>
      </c>
      <c r="H3" s="381">
        <v>50</v>
      </c>
      <c r="I3" s="275">
        <f>(G3*H3)/1000</f>
        <v>1.25</v>
      </c>
      <c r="J3" s="272">
        <f>I3*B$18</f>
        <v>31.25</v>
      </c>
      <c r="K3" s="273"/>
    </row>
    <row r="4" spans="1:11">
      <c r="A4" s="267" t="s">
        <v>289</v>
      </c>
      <c r="B4" s="381">
        <v>1</v>
      </c>
      <c r="C4" s="382">
        <f>12/12</f>
        <v>1</v>
      </c>
      <c r="D4" s="268" t="s">
        <v>287</v>
      </c>
      <c r="E4" s="381">
        <v>8</v>
      </c>
      <c r="F4" s="272">
        <f>25/(E4*B4)</f>
        <v>3.125</v>
      </c>
      <c r="G4" s="272">
        <f>E4*F4*C4</f>
        <v>25</v>
      </c>
      <c r="H4" s="381">
        <v>150</v>
      </c>
      <c r="I4" s="275">
        <f>(G4*H4)/1000</f>
        <v>3.75</v>
      </c>
      <c r="J4" s="272">
        <f>I4*B$18</f>
        <v>93.75</v>
      </c>
    </row>
    <row r="5" spans="1:11">
      <c r="A5" s="267" t="s">
        <v>26</v>
      </c>
      <c r="B5" s="381">
        <v>1</v>
      </c>
      <c r="C5" s="382">
        <f>12/12</f>
        <v>1</v>
      </c>
      <c r="D5" s="268" t="s">
        <v>287</v>
      </c>
      <c r="E5" s="381">
        <v>8</v>
      </c>
      <c r="F5" s="272">
        <f>25/(E5*B5)</f>
        <v>3.125</v>
      </c>
      <c r="G5" s="272">
        <f>E5*F5*C5</f>
        <v>25</v>
      </c>
      <c r="H5" s="381">
        <v>500</v>
      </c>
      <c r="I5" s="275">
        <f>(G5*H5)/1000</f>
        <v>12.5</v>
      </c>
      <c r="J5" s="272">
        <f>I5*B$18</f>
        <v>312.5</v>
      </c>
    </row>
    <row r="6" spans="1:11">
      <c r="A6" s="267" t="s">
        <v>285</v>
      </c>
      <c r="B6" s="381">
        <v>6</v>
      </c>
      <c r="C6" s="382">
        <f>12/12</f>
        <v>1</v>
      </c>
      <c r="D6" s="268" t="s">
        <v>287</v>
      </c>
      <c r="E6" s="381">
        <v>2</v>
      </c>
      <c r="F6" s="272">
        <f>25/(E6*B6)</f>
        <v>2.0833333333333335</v>
      </c>
      <c r="G6" s="272">
        <f>E6*F6*C6</f>
        <v>4.166666666666667</v>
      </c>
      <c r="H6" s="381">
        <v>30</v>
      </c>
      <c r="I6" s="275">
        <f>(G6*H6)/1000</f>
        <v>0.12500000000000003</v>
      </c>
      <c r="J6" s="272">
        <f>I6*B$18</f>
        <v>3.1250000000000009</v>
      </c>
    </row>
    <row r="7" spans="1:11">
      <c r="A7" s="267" t="s">
        <v>304</v>
      </c>
      <c r="B7" s="381">
        <v>2</v>
      </c>
      <c r="C7" s="382">
        <f>5/12</f>
        <v>0.41666666666666669</v>
      </c>
      <c r="D7" s="268" t="s">
        <v>287</v>
      </c>
      <c r="E7" s="381">
        <v>4</v>
      </c>
      <c r="F7" s="272">
        <f>25/(E7*B7)</f>
        <v>3.125</v>
      </c>
      <c r="G7" s="272">
        <f>E7*F7*C7</f>
        <v>5.2083333333333339</v>
      </c>
      <c r="H7" s="381">
        <v>400</v>
      </c>
      <c r="I7" s="275">
        <f>(G7*H7)/1000</f>
        <v>2.0833333333333335</v>
      </c>
      <c r="J7" s="272">
        <f>I7*B$18</f>
        <v>52.083333333333336</v>
      </c>
    </row>
    <row r="8" spans="1:11" ht="15">
      <c r="A8" s="267"/>
      <c r="B8" s="268"/>
      <c r="C8" s="268"/>
      <c r="D8" s="268"/>
      <c r="E8" s="268"/>
      <c r="F8" s="268"/>
      <c r="G8" s="268"/>
      <c r="H8" s="267"/>
      <c r="I8" s="276">
        <f>SUM(I3:I7)</f>
        <v>19.708333333333332</v>
      </c>
      <c r="J8" s="274">
        <f>SUM(J3:J7)</f>
        <v>492.70833333333331</v>
      </c>
    </row>
    <row r="10" spans="1:11" ht="15">
      <c r="A10" s="265" t="s">
        <v>290</v>
      </c>
      <c r="B10" s="265"/>
      <c r="C10" s="265"/>
      <c r="D10" s="270"/>
    </row>
    <row r="11" spans="1:11" ht="45">
      <c r="A11" s="266" t="s">
        <v>111</v>
      </c>
      <c r="B11" s="269" t="s">
        <v>306</v>
      </c>
      <c r="C11" s="269" t="s">
        <v>307</v>
      </c>
      <c r="D11" s="269" t="s">
        <v>286</v>
      </c>
      <c r="E11" s="269" t="s">
        <v>296</v>
      </c>
      <c r="F11" s="269" t="s">
        <v>291</v>
      </c>
      <c r="G11" s="269" t="s">
        <v>292</v>
      </c>
      <c r="H11" s="269" t="s">
        <v>293</v>
      </c>
      <c r="I11" s="269" t="s">
        <v>305</v>
      </c>
      <c r="J11" s="269" t="s">
        <v>295</v>
      </c>
    </row>
    <row r="12" spans="1:11">
      <c r="A12" s="267" t="s">
        <v>289</v>
      </c>
      <c r="B12" s="381">
        <v>1</v>
      </c>
      <c r="C12" s="382">
        <f>12/12</f>
        <v>1</v>
      </c>
      <c r="D12" s="268" t="s">
        <v>287</v>
      </c>
      <c r="E12" s="381">
        <v>4</v>
      </c>
      <c r="F12" s="272">
        <f>25/(E12*B12)</f>
        <v>6.25</v>
      </c>
      <c r="G12" s="272">
        <f>E12*F12*C12</f>
        <v>25</v>
      </c>
      <c r="H12" s="381">
        <v>150</v>
      </c>
      <c r="I12" s="275">
        <f>(G12*H12)/1000</f>
        <v>3.75</v>
      </c>
      <c r="J12" s="272">
        <f>I12*B$18</f>
        <v>93.75</v>
      </c>
    </row>
    <row r="13" spans="1:11">
      <c r="A13" s="267" t="s">
        <v>26</v>
      </c>
      <c r="B13" s="381">
        <v>1</v>
      </c>
      <c r="C13" s="382">
        <f>12/12</f>
        <v>1</v>
      </c>
      <c r="D13" s="268" t="s">
        <v>287</v>
      </c>
      <c r="E13" s="381">
        <v>4</v>
      </c>
      <c r="F13" s="272">
        <f>25/(E13*B13)</f>
        <v>6.25</v>
      </c>
      <c r="G13" s="272">
        <f>E13*F13*C13</f>
        <v>25</v>
      </c>
      <c r="H13" s="381">
        <v>500</v>
      </c>
      <c r="I13" s="275">
        <f>(G13*H13)/1000</f>
        <v>12.5</v>
      </c>
      <c r="J13" s="272">
        <f>I13*B$18</f>
        <v>312.5</v>
      </c>
    </row>
    <row r="14" spans="1:11">
      <c r="A14" s="267" t="s">
        <v>285</v>
      </c>
      <c r="B14" s="381">
        <v>6</v>
      </c>
      <c r="C14" s="382">
        <f>12/12</f>
        <v>1</v>
      </c>
      <c r="D14" s="268" t="s">
        <v>287</v>
      </c>
      <c r="E14" s="381">
        <v>3</v>
      </c>
      <c r="F14" s="272">
        <f>25/(E14*B14)</f>
        <v>1.3888888888888888</v>
      </c>
      <c r="G14" s="272">
        <f>E14*F14*C14</f>
        <v>4.1666666666666661</v>
      </c>
      <c r="H14" s="381">
        <v>30</v>
      </c>
      <c r="I14" s="275">
        <f>(G14*H14)/1000</f>
        <v>0.12499999999999999</v>
      </c>
      <c r="J14" s="272">
        <f>I14*B$18</f>
        <v>3.1249999999999996</v>
      </c>
    </row>
    <row r="15" spans="1:11">
      <c r="A15" s="267" t="s">
        <v>304</v>
      </c>
      <c r="B15" s="381">
        <v>3</v>
      </c>
      <c r="C15" s="382">
        <f>5/12</f>
        <v>0.41666666666666669</v>
      </c>
      <c r="D15" s="268" t="s">
        <v>287</v>
      </c>
      <c r="E15" s="381">
        <v>2</v>
      </c>
      <c r="F15" s="272">
        <f>25/(E15*B15)</f>
        <v>4.166666666666667</v>
      </c>
      <c r="G15" s="272">
        <f>E15*F15*C15</f>
        <v>3.4722222222222228</v>
      </c>
      <c r="H15" s="381">
        <v>400</v>
      </c>
      <c r="I15" s="275">
        <f>(G15*H15)/1000</f>
        <v>1.3888888888888891</v>
      </c>
      <c r="J15" s="272">
        <f>I15*B$18</f>
        <v>34.722222222222229</v>
      </c>
    </row>
    <row r="16" spans="1:11" ht="15">
      <c r="A16" s="267"/>
      <c r="B16" s="268"/>
      <c r="C16" s="268"/>
      <c r="D16" s="268"/>
      <c r="E16" s="268"/>
      <c r="F16" s="268"/>
      <c r="G16" s="268"/>
      <c r="H16" s="267"/>
      <c r="I16" s="276">
        <f>SUM(I12:I15)</f>
        <v>17.763888888888889</v>
      </c>
      <c r="J16" s="274">
        <f>SUM(J12:J15)</f>
        <v>444.09722222222223</v>
      </c>
    </row>
    <row r="17" spans="1:4">
      <c r="B17" s="271"/>
      <c r="C17" s="271"/>
    </row>
    <row r="18" spans="1:4" ht="15">
      <c r="A18" s="266" t="s">
        <v>294</v>
      </c>
      <c r="B18" s="380">
        <v>25</v>
      </c>
      <c r="D18" s="26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46.85546875" style="170" customWidth="1"/>
    <col min="2" max="2" width="9.140625" style="181" customWidth="1"/>
    <col min="3" max="3" width="10" style="170" bestFit="1" customWidth="1"/>
    <col min="4" max="4" width="9.140625" style="170"/>
    <col min="5" max="5" width="16.85546875" style="170" bestFit="1" customWidth="1"/>
    <col min="6" max="6" width="9.140625" style="170"/>
    <col min="7" max="7" width="6.85546875" style="170" bestFit="1" customWidth="1"/>
    <col min="8" max="8" width="14.5703125" style="170" bestFit="1" customWidth="1"/>
    <col min="9" max="255" width="9.140625" style="170"/>
    <col min="256" max="256" width="46.85546875" style="170" customWidth="1"/>
    <col min="257" max="257" width="9.140625" style="170" customWidth="1"/>
    <col min="258" max="258" width="12.140625" style="170" bestFit="1" customWidth="1"/>
    <col min="259" max="259" width="10" style="170" bestFit="1" customWidth="1"/>
    <col min="260" max="511" width="9.140625" style="170"/>
    <col min="512" max="512" width="46.85546875" style="170" customWidth="1"/>
    <col min="513" max="513" width="9.140625" style="170" customWidth="1"/>
    <col min="514" max="514" width="12.140625" style="170" bestFit="1" customWidth="1"/>
    <col min="515" max="515" width="10" style="170" bestFit="1" customWidth="1"/>
    <col min="516" max="767" width="9.140625" style="170"/>
    <col min="768" max="768" width="46.85546875" style="170" customWidth="1"/>
    <col min="769" max="769" width="9.140625" style="170" customWidth="1"/>
    <col min="770" max="770" width="12.140625" style="170" bestFit="1" customWidth="1"/>
    <col min="771" max="771" width="10" style="170" bestFit="1" customWidth="1"/>
    <col min="772" max="1023" width="9.140625" style="170"/>
    <col min="1024" max="1024" width="46.85546875" style="170" customWidth="1"/>
    <col min="1025" max="1025" width="9.140625" style="170" customWidth="1"/>
    <col min="1026" max="1026" width="12.140625" style="170" bestFit="1" customWidth="1"/>
    <col min="1027" max="1027" width="10" style="170" bestFit="1" customWidth="1"/>
    <col min="1028" max="1279" width="9.140625" style="170"/>
    <col min="1280" max="1280" width="46.85546875" style="170" customWidth="1"/>
    <col min="1281" max="1281" width="9.140625" style="170" customWidth="1"/>
    <col min="1282" max="1282" width="12.140625" style="170" bestFit="1" customWidth="1"/>
    <col min="1283" max="1283" width="10" style="170" bestFit="1" customWidth="1"/>
    <col min="1284" max="1535" width="9.140625" style="170"/>
    <col min="1536" max="1536" width="46.85546875" style="170" customWidth="1"/>
    <col min="1537" max="1537" width="9.140625" style="170" customWidth="1"/>
    <col min="1538" max="1538" width="12.140625" style="170" bestFit="1" customWidth="1"/>
    <col min="1539" max="1539" width="10" style="170" bestFit="1" customWidth="1"/>
    <col min="1540" max="1791" width="9.140625" style="170"/>
    <col min="1792" max="1792" width="46.85546875" style="170" customWidth="1"/>
    <col min="1793" max="1793" width="9.140625" style="170" customWidth="1"/>
    <col min="1794" max="1794" width="12.140625" style="170" bestFit="1" customWidth="1"/>
    <col min="1795" max="1795" width="10" style="170" bestFit="1" customWidth="1"/>
    <col min="1796" max="2047" width="9.140625" style="170"/>
    <col min="2048" max="2048" width="46.85546875" style="170" customWidth="1"/>
    <col min="2049" max="2049" width="9.140625" style="170" customWidth="1"/>
    <col min="2050" max="2050" width="12.140625" style="170" bestFit="1" customWidth="1"/>
    <col min="2051" max="2051" width="10" style="170" bestFit="1" customWidth="1"/>
    <col min="2052" max="2303" width="9.140625" style="170"/>
    <col min="2304" max="2304" width="46.85546875" style="170" customWidth="1"/>
    <col min="2305" max="2305" width="9.140625" style="170" customWidth="1"/>
    <col min="2306" max="2306" width="12.140625" style="170" bestFit="1" customWidth="1"/>
    <col min="2307" max="2307" width="10" style="170" bestFit="1" customWidth="1"/>
    <col min="2308" max="2559" width="9.140625" style="170"/>
    <col min="2560" max="2560" width="46.85546875" style="170" customWidth="1"/>
    <col min="2561" max="2561" width="9.140625" style="170" customWidth="1"/>
    <col min="2562" max="2562" width="12.140625" style="170" bestFit="1" customWidth="1"/>
    <col min="2563" max="2563" width="10" style="170" bestFit="1" customWidth="1"/>
    <col min="2564" max="2815" width="9.140625" style="170"/>
    <col min="2816" max="2816" width="46.85546875" style="170" customWidth="1"/>
    <col min="2817" max="2817" width="9.140625" style="170" customWidth="1"/>
    <col min="2818" max="2818" width="12.140625" style="170" bestFit="1" customWidth="1"/>
    <col min="2819" max="2819" width="10" style="170" bestFit="1" customWidth="1"/>
    <col min="2820" max="3071" width="9.140625" style="170"/>
    <col min="3072" max="3072" width="46.85546875" style="170" customWidth="1"/>
    <col min="3073" max="3073" width="9.140625" style="170" customWidth="1"/>
    <col min="3074" max="3074" width="12.140625" style="170" bestFit="1" customWidth="1"/>
    <col min="3075" max="3075" width="10" style="170" bestFit="1" customWidth="1"/>
    <col min="3076" max="3327" width="9.140625" style="170"/>
    <col min="3328" max="3328" width="46.85546875" style="170" customWidth="1"/>
    <col min="3329" max="3329" width="9.140625" style="170" customWidth="1"/>
    <col min="3330" max="3330" width="12.140625" style="170" bestFit="1" customWidth="1"/>
    <col min="3331" max="3331" width="10" style="170" bestFit="1" customWidth="1"/>
    <col min="3332" max="3583" width="9.140625" style="170"/>
    <col min="3584" max="3584" width="46.85546875" style="170" customWidth="1"/>
    <col min="3585" max="3585" width="9.140625" style="170" customWidth="1"/>
    <col min="3586" max="3586" width="12.140625" style="170" bestFit="1" customWidth="1"/>
    <col min="3587" max="3587" width="10" style="170" bestFit="1" customWidth="1"/>
    <col min="3588" max="3839" width="9.140625" style="170"/>
    <col min="3840" max="3840" width="46.85546875" style="170" customWidth="1"/>
    <col min="3841" max="3841" width="9.140625" style="170" customWidth="1"/>
    <col min="3842" max="3842" width="12.140625" style="170" bestFit="1" customWidth="1"/>
    <col min="3843" max="3843" width="10" style="170" bestFit="1" customWidth="1"/>
    <col min="3844" max="4095" width="9.140625" style="170"/>
    <col min="4096" max="4096" width="46.85546875" style="170" customWidth="1"/>
    <col min="4097" max="4097" width="9.140625" style="170" customWidth="1"/>
    <col min="4098" max="4098" width="12.140625" style="170" bestFit="1" customWidth="1"/>
    <col min="4099" max="4099" width="10" style="170" bestFit="1" customWidth="1"/>
    <col min="4100" max="4351" width="9.140625" style="170"/>
    <col min="4352" max="4352" width="46.85546875" style="170" customWidth="1"/>
    <col min="4353" max="4353" width="9.140625" style="170" customWidth="1"/>
    <col min="4354" max="4354" width="12.140625" style="170" bestFit="1" customWidth="1"/>
    <col min="4355" max="4355" width="10" style="170" bestFit="1" customWidth="1"/>
    <col min="4356" max="4607" width="9.140625" style="170"/>
    <col min="4608" max="4608" width="46.85546875" style="170" customWidth="1"/>
    <col min="4609" max="4609" width="9.140625" style="170" customWidth="1"/>
    <col min="4610" max="4610" width="12.140625" style="170" bestFit="1" customWidth="1"/>
    <col min="4611" max="4611" width="10" style="170" bestFit="1" customWidth="1"/>
    <col min="4612" max="4863" width="9.140625" style="170"/>
    <col min="4864" max="4864" width="46.85546875" style="170" customWidth="1"/>
    <col min="4865" max="4865" width="9.140625" style="170" customWidth="1"/>
    <col min="4866" max="4866" width="12.140625" style="170" bestFit="1" customWidth="1"/>
    <col min="4867" max="4867" width="10" style="170" bestFit="1" customWidth="1"/>
    <col min="4868" max="5119" width="9.140625" style="170"/>
    <col min="5120" max="5120" width="46.85546875" style="170" customWidth="1"/>
    <col min="5121" max="5121" width="9.140625" style="170" customWidth="1"/>
    <col min="5122" max="5122" width="12.140625" style="170" bestFit="1" customWidth="1"/>
    <col min="5123" max="5123" width="10" style="170" bestFit="1" customWidth="1"/>
    <col min="5124" max="5375" width="9.140625" style="170"/>
    <col min="5376" max="5376" width="46.85546875" style="170" customWidth="1"/>
    <col min="5377" max="5377" width="9.140625" style="170" customWidth="1"/>
    <col min="5378" max="5378" width="12.140625" style="170" bestFit="1" customWidth="1"/>
    <col min="5379" max="5379" width="10" style="170" bestFit="1" customWidth="1"/>
    <col min="5380" max="5631" width="9.140625" style="170"/>
    <col min="5632" max="5632" width="46.85546875" style="170" customWidth="1"/>
    <col min="5633" max="5633" width="9.140625" style="170" customWidth="1"/>
    <col min="5634" max="5634" width="12.140625" style="170" bestFit="1" customWidth="1"/>
    <col min="5635" max="5635" width="10" style="170" bestFit="1" customWidth="1"/>
    <col min="5636" max="5887" width="9.140625" style="170"/>
    <col min="5888" max="5888" width="46.85546875" style="170" customWidth="1"/>
    <col min="5889" max="5889" width="9.140625" style="170" customWidth="1"/>
    <col min="5890" max="5890" width="12.140625" style="170" bestFit="1" customWidth="1"/>
    <col min="5891" max="5891" width="10" style="170" bestFit="1" customWidth="1"/>
    <col min="5892" max="6143" width="9.140625" style="170"/>
    <col min="6144" max="6144" width="46.85546875" style="170" customWidth="1"/>
    <col min="6145" max="6145" width="9.140625" style="170" customWidth="1"/>
    <col min="6146" max="6146" width="12.140625" style="170" bestFit="1" customWidth="1"/>
    <col min="6147" max="6147" width="10" style="170" bestFit="1" customWidth="1"/>
    <col min="6148" max="6399" width="9.140625" style="170"/>
    <col min="6400" max="6400" width="46.85546875" style="170" customWidth="1"/>
    <col min="6401" max="6401" width="9.140625" style="170" customWidth="1"/>
    <col min="6402" max="6402" width="12.140625" style="170" bestFit="1" customWidth="1"/>
    <col min="6403" max="6403" width="10" style="170" bestFit="1" customWidth="1"/>
    <col min="6404" max="6655" width="9.140625" style="170"/>
    <col min="6656" max="6656" width="46.85546875" style="170" customWidth="1"/>
    <col min="6657" max="6657" width="9.140625" style="170" customWidth="1"/>
    <col min="6658" max="6658" width="12.140625" style="170" bestFit="1" customWidth="1"/>
    <col min="6659" max="6659" width="10" style="170" bestFit="1" customWidth="1"/>
    <col min="6660" max="6911" width="9.140625" style="170"/>
    <col min="6912" max="6912" width="46.85546875" style="170" customWidth="1"/>
    <col min="6913" max="6913" width="9.140625" style="170" customWidth="1"/>
    <col min="6914" max="6914" width="12.140625" style="170" bestFit="1" customWidth="1"/>
    <col min="6915" max="6915" width="10" style="170" bestFit="1" customWidth="1"/>
    <col min="6916" max="7167" width="9.140625" style="170"/>
    <col min="7168" max="7168" width="46.85546875" style="170" customWidth="1"/>
    <col min="7169" max="7169" width="9.140625" style="170" customWidth="1"/>
    <col min="7170" max="7170" width="12.140625" style="170" bestFit="1" customWidth="1"/>
    <col min="7171" max="7171" width="10" style="170" bestFit="1" customWidth="1"/>
    <col min="7172" max="7423" width="9.140625" style="170"/>
    <col min="7424" max="7424" width="46.85546875" style="170" customWidth="1"/>
    <col min="7425" max="7425" width="9.140625" style="170" customWidth="1"/>
    <col min="7426" max="7426" width="12.140625" style="170" bestFit="1" customWidth="1"/>
    <col min="7427" max="7427" width="10" style="170" bestFit="1" customWidth="1"/>
    <col min="7428" max="7679" width="9.140625" style="170"/>
    <col min="7680" max="7680" width="46.85546875" style="170" customWidth="1"/>
    <col min="7681" max="7681" width="9.140625" style="170" customWidth="1"/>
    <col min="7682" max="7682" width="12.140625" style="170" bestFit="1" customWidth="1"/>
    <col min="7683" max="7683" width="10" style="170" bestFit="1" customWidth="1"/>
    <col min="7684" max="7935" width="9.140625" style="170"/>
    <col min="7936" max="7936" width="46.85546875" style="170" customWidth="1"/>
    <col min="7937" max="7937" width="9.140625" style="170" customWidth="1"/>
    <col min="7938" max="7938" width="12.140625" style="170" bestFit="1" customWidth="1"/>
    <col min="7939" max="7939" width="10" style="170" bestFit="1" customWidth="1"/>
    <col min="7940" max="8191" width="9.140625" style="170"/>
    <col min="8192" max="8192" width="46.85546875" style="170" customWidth="1"/>
    <col min="8193" max="8193" width="9.140625" style="170" customWidth="1"/>
    <col min="8194" max="8194" width="12.140625" style="170" bestFit="1" customWidth="1"/>
    <col min="8195" max="8195" width="10" style="170" bestFit="1" customWidth="1"/>
    <col min="8196" max="8447" width="9.140625" style="170"/>
    <col min="8448" max="8448" width="46.85546875" style="170" customWidth="1"/>
    <col min="8449" max="8449" width="9.140625" style="170" customWidth="1"/>
    <col min="8450" max="8450" width="12.140625" style="170" bestFit="1" customWidth="1"/>
    <col min="8451" max="8451" width="10" style="170" bestFit="1" customWidth="1"/>
    <col min="8452" max="8703" width="9.140625" style="170"/>
    <col min="8704" max="8704" width="46.85546875" style="170" customWidth="1"/>
    <col min="8705" max="8705" width="9.140625" style="170" customWidth="1"/>
    <col min="8706" max="8706" width="12.140625" style="170" bestFit="1" customWidth="1"/>
    <col min="8707" max="8707" width="10" style="170" bestFit="1" customWidth="1"/>
    <col min="8708" max="8959" width="9.140625" style="170"/>
    <col min="8960" max="8960" width="46.85546875" style="170" customWidth="1"/>
    <col min="8961" max="8961" width="9.140625" style="170" customWidth="1"/>
    <col min="8962" max="8962" width="12.140625" style="170" bestFit="1" customWidth="1"/>
    <col min="8963" max="8963" width="10" style="170" bestFit="1" customWidth="1"/>
    <col min="8964" max="9215" width="9.140625" style="170"/>
    <col min="9216" max="9216" width="46.85546875" style="170" customWidth="1"/>
    <col min="9217" max="9217" width="9.140625" style="170" customWidth="1"/>
    <col min="9218" max="9218" width="12.140625" style="170" bestFit="1" customWidth="1"/>
    <col min="9219" max="9219" width="10" style="170" bestFit="1" customWidth="1"/>
    <col min="9220" max="9471" width="9.140625" style="170"/>
    <col min="9472" max="9472" width="46.85546875" style="170" customWidth="1"/>
    <col min="9473" max="9473" width="9.140625" style="170" customWidth="1"/>
    <col min="9474" max="9474" width="12.140625" style="170" bestFit="1" customWidth="1"/>
    <col min="9475" max="9475" width="10" style="170" bestFit="1" customWidth="1"/>
    <col min="9476" max="9727" width="9.140625" style="170"/>
    <col min="9728" max="9728" width="46.85546875" style="170" customWidth="1"/>
    <col min="9729" max="9729" width="9.140625" style="170" customWidth="1"/>
    <col min="9730" max="9730" width="12.140625" style="170" bestFit="1" customWidth="1"/>
    <col min="9731" max="9731" width="10" style="170" bestFit="1" customWidth="1"/>
    <col min="9732" max="9983" width="9.140625" style="170"/>
    <col min="9984" max="9984" width="46.85546875" style="170" customWidth="1"/>
    <col min="9985" max="9985" width="9.140625" style="170" customWidth="1"/>
    <col min="9986" max="9986" width="12.140625" style="170" bestFit="1" customWidth="1"/>
    <col min="9987" max="9987" width="10" style="170" bestFit="1" customWidth="1"/>
    <col min="9988" max="10239" width="9.140625" style="170"/>
    <col min="10240" max="10240" width="46.85546875" style="170" customWidth="1"/>
    <col min="10241" max="10241" width="9.140625" style="170" customWidth="1"/>
    <col min="10242" max="10242" width="12.140625" style="170" bestFit="1" customWidth="1"/>
    <col min="10243" max="10243" width="10" style="170" bestFit="1" customWidth="1"/>
    <col min="10244" max="10495" width="9.140625" style="170"/>
    <col min="10496" max="10496" width="46.85546875" style="170" customWidth="1"/>
    <col min="10497" max="10497" width="9.140625" style="170" customWidth="1"/>
    <col min="10498" max="10498" width="12.140625" style="170" bestFit="1" customWidth="1"/>
    <col min="10499" max="10499" width="10" style="170" bestFit="1" customWidth="1"/>
    <col min="10500" max="10751" width="9.140625" style="170"/>
    <col min="10752" max="10752" width="46.85546875" style="170" customWidth="1"/>
    <col min="10753" max="10753" width="9.140625" style="170" customWidth="1"/>
    <col min="10754" max="10754" width="12.140625" style="170" bestFit="1" customWidth="1"/>
    <col min="10755" max="10755" width="10" style="170" bestFit="1" customWidth="1"/>
    <col min="10756" max="11007" width="9.140625" style="170"/>
    <col min="11008" max="11008" width="46.85546875" style="170" customWidth="1"/>
    <col min="11009" max="11009" width="9.140625" style="170" customWidth="1"/>
    <col min="11010" max="11010" width="12.140625" style="170" bestFit="1" customWidth="1"/>
    <col min="11011" max="11011" width="10" style="170" bestFit="1" customWidth="1"/>
    <col min="11012" max="11263" width="9.140625" style="170"/>
    <col min="11264" max="11264" width="46.85546875" style="170" customWidth="1"/>
    <col min="11265" max="11265" width="9.140625" style="170" customWidth="1"/>
    <col min="11266" max="11266" width="12.140625" style="170" bestFit="1" customWidth="1"/>
    <col min="11267" max="11267" width="10" style="170" bestFit="1" customWidth="1"/>
    <col min="11268" max="11519" width="9.140625" style="170"/>
    <col min="11520" max="11520" width="46.85546875" style="170" customWidth="1"/>
    <col min="11521" max="11521" width="9.140625" style="170" customWidth="1"/>
    <col min="11522" max="11522" width="12.140625" style="170" bestFit="1" customWidth="1"/>
    <col min="11523" max="11523" width="10" style="170" bestFit="1" customWidth="1"/>
    <col min="11524" max="11775" width="9.140625" style="170"/>
    <col min="11776" max="11776" width="46.85546875" style="170" customWidth="1"/>
    <col min="11777" max="11777" width="9.140625" style="170" customWidth="1"/>
    <col min="11778" max="11778" width="12.140625" style="170" bestFit="1" customWidth="1"/>
    <col min="11779" max="11779" width="10" style="170" bestFit="1" customWidth="1"/>
    <col min="11780" max="12031" width="9.140625" style="170"/>
    <col min="12032" max="12032" width="46.85546875" style="170" customWidth="1"/>
    <col min="12033" max="12033" width="9.140625" style="170" customWidth="1"/>
    <col min="12034" max="12034" width="12.140625" style="170" bestFit="1" customWidth="1"/>
    <col min="12035" max="12035" width="10" style="170" bestFit="1" customWidth="1"/>
    <col min="12036" max="12287" width="9.140625" style="170"/>
    <col min="12288" max="12288" width="46.85546875" style="170" customWidth="1"/>
    <col min="12289" max="12289" width="9.140625" style="170" customWidth="1"/>
    <col min="12290" max="12290" width="12.140625" style="170" bestFit="1" customWidth="1"/>
    <col min="12291" max="12291" width="10" style="170" bestFit="1" customWidth="1"/>
    <col min="12292" max="12543" width="9.140625" style="170"/>
    <col min="12544" max="12544" width="46.85546875" style="170" customWidth="1"/>
    <col min="12545" max="12545" width="9.140625" style="170" customWidth="1"/>
    <col min="12546" max="12546" width="12.140625" style="170" bestFit="1" customWidth="1"/>
    <col min="12547" max="12547" width="10" style="170" bestFit="1" customWidth="1"/>
    <col min="12548" max="12799" width="9.140625" style="170"/>
    <col min="12800" max="12800" width="46.85546875" style="170" customWidth="1"/>
    <col min="12801" max="12801" width="9.140625" style="170" customWidth="1"/>
    <col min="12802" max="12802" width="12.140625" style="170" bestFit="1" customWidth="1"/>
    <col min="12803" max="12803" width="10" style="170" bestFit="1" customWidth="1"/>
    <col min="12804" max="13055" width="9.140625" style="170"/>
    <col min="13056" max="13056" width="46.85546875" style="170" customWidth="1"/>
    <col min="13057" max="13057" width="9.140625" style="170" customWidth="1"/>
    <col min="13058" max="13058" width="12.140625" style="170" bestFit="1" customWidth="1"/>
    <col min="13059" max="13059" width="10" style="170" bestFit="1" customWidth="1"/>
    <col min="13060" max="13311" width="9.140625" style="170"/>
    <col min="13312" max="13312" width="46.85546875" style="170" customWidth="1"/>
    <col min="13313" max="13313" width="9.140625" style="170" customWidth="1"/>
    <col min="13314" max="13314" width="12.140625" style="170" bestFit="1" customWidth="1"/>
    <col min="13315" max="13315" width="10" style="170" bestFit="1" customWidth="1"/>
    <col min="13316" max="13567" width="9.140625" style="170"/>
    <col min="13568" max="13568" width="46.85546875" style="170" customWidth="1"/>
    <col min="13569" max="13569" width="9.140625" style="170" customWidth="1"/>
    <col min="13570" max="13570" width="12.140625" style="170" bestFit="1" customWidth="1"/>
    <col min="13571" max="13571" width="10" style="170" bestFit="1" customWidth="1"/>
    <col min="13572" max="13823" width="9.140625" style="170"/>
    <col min="13824" max="13824" width="46.85546875" style="170" customWidth="1"/>
    <col min="13825" max="13825" width="9.140625" style="170" customWidth="1"/>
    <col min="13826" max="13826" width="12.140625" style="170" bestFit="1" customWidth="1"/>
    <col min="13827" max="13827" width="10" style="170" bestFit="1" customWidth="1"/>
    <col min="13828" max="14079" width="9.140625" style="170"/>
    <col min="14080" max="14080" width="46.85546875" style="170" customWidth="1"/>
    <col min="14081" max="14081" width="9.140625" style="170" customWidth="1"/>
    <col min="14082" max="14082" width="12.140625" style="170" bestFit="1" customWidth="1"/>
    <col min="14083" max="14083" width="10" style="170" bestFit="1" customWidth="1"/>
    <col min="14084" max="14335" width="9.140625" style="170"/>
    <col min="14336" max="14336" width="46.85546875" style="170" customWidth="1"/>
    <col min="14337" max="14337" width="9.140625" style="170" customWidth="1"/>
    <col min="14338" max="14338" width="12.140625" style="170" bestFit="1" customWidth="1"/>
    <col min="14339" max="14339" width="10" style="170" bestFit="1" customWidth="1"/>
    <col min="14340" max="14591" width="9.140625" style="170"/>
    <col min="14592" max="14592" width="46.85546875" style="170" customWidth="1"/>
    <col min="14593" max="14593" width="9.140625" style="170" customWidth="1"/>
    <col min="14594" max="14594" width="12.140625" style="170" bestFit="1" customWidth="1"/>
    <col min="14595" max="14595" width="10" style="170" bestFit="1" customWidth="1"/>
    <col min="14596" max="14847" width="9.140625" style="170"/>
    <col min="14848" max="14848" width="46.85546875" style="170" customWidth="1"/>
    <col min="14849" max="14849" width="9.140625" style="170" customWidth="1"/>
    <col min="14850" max="14850" width="12.140625" style="170" bestFit="1" customWidth="1"/>
    <col min="14851" max="14851" width="10" style="170" bestFit="1" customWidth="1"/>
    <col min="14852" max="15103" width="9.140625" style="170"/>
    <col min="15104" max="15104" width="46.85546875" style="170" customWidth="1"/>
    <col min="15105" max="15105" width="9.140625" style="170" customWidth="1"/>
    <col min="15106" max="15106" width="12.140625" style="170" bestFit="1" customWidth="1"/>
    <col min="15107" max="15107" width="10" style="170" bestFit="1" customWidth="1"/>
    <col min="15108" max="15359" width="9.140625" style="170"/>
    <col min="15360" max="15360" width="46.85546875" style="170" customWidth="1"/>
    <col min="15361" max="15361" width="9.140625" style="170" customWidth="1"/>
    <col min="15362" max="15362" width="12.140625" style="170" bestFit="1" customWidth="1"/>
    <col min="15363" max="15363" width="10" style="170" bestFit="1" customWidth="1"/>
    <col min="15364" max="15615" width="9.140625" style="170"/>
    <col min="15616" max="15616" width="46.85546875" style="170" customWidth="1"/>
    <col min="15617" max="15617" width="9.140625" style="170" customWidth="1"/>
    <col min="15618" max="15618" width="12.140625" style="170" bestFit="1" customWidth="1"/>
    <col min="15619" max="15619" width="10" style="170" bestFit="1" customWidth="1"/>
    <col min="15620" max="15871" width="9.140625" style="170"/>
    <col min="15872" max="15872" width="46.85546875" style="170" customWidth="1"/>
    <col min="15873" max="15873" width="9.140625" style="170" customWidth="1"/>
    <col min="15874" max="15874" width="12.140625" style="170" bestFit="1" customWidth="1"/>
    <col min="15875" max="15875" width="10" style="170" bestFit="1" customWidth="1"/>
    <col min="15876" max="16127" width="9.140625" style="170"/>
    <col min="16128" max="16128" width="46.85546875" style="170" customWidth="1"/>
    <col min="16129" max="16129" width="9.140625" style="170" customWidth="1"/>
    <col min="16130" max="16130" width="12.140625" style="170" bestFit="1" customWidth="1"/>
    <col min="16131" max="16131" width="10" style="170" bestFit="1" customWidth="1"/>
    <col min="16132" max="16384" width="9.140625" style="170"/>
  </cols>
  <sheetData>
    <row r="1" spans="1:2">
      <c r="A1" s="173" t="s">
        <v>230</v>
      </c>
      <c r="B1" s="174"/>
    </row>
    <row r="2" spans="1:2">
      <c r="A2" s="171" t="s">
        <v>231</v>
      </c>
      <c r="B2" s="175">
        <f>SUM(B3:B13)</f>
        <v>11</v>
      </c>
    </row>
    <row r="3" spans="1:2">
      <c r="A3" s="176" t="s">
        <v>209</v>
      </c>
      <c r="B3" s="172">
        <v>1</v>
      </c>
    </row>
    <row r="4" spans="1:2">
      <c r="A4" s="176" t="s">
        <v>210</v>
      </c>
      <c r="B4" s="172">
        <v>1</v>
      </c>
    </row>
    <row r="5" spans="1:2">
      <c r="A5" s="176" t="s">
        <v>211</v>
      </c>
      <c r="B5" s="172">
        <v>1</v>
      </c>
    </row>
    <row r="6" spans="1:2">
      <c r="A6" s="176" t="s">
        <v>268</v>
      </c>
      <c r="B6" s="172">
        <v>1</v>
      </c>
    </row>
    <row r="7" spans="1:2">
      <c r="A7" s="176" t="s">
        <v>269</v>
      </c>
      <c r="B7" s="172">
        <v>1</v>
      </c>
    </row>
    <row r="8" spans="1:2">
      <c r="A8" s="176" t="s">
        <v>212</v>
      </c>
      <c r="B8" s="172">
        <v>1</v>
      </c>
    </row>
    <row r="9" spans="1:2">
      <c r="A9" s="176" t="s">
        <v>213</v>
      </c>
      <c r="B9" s="172">
        <v>1</v>
      </c>
    </row>
    <row r="10" spans="1:2">
      <c r="A10" s="176" t="s">
        <v>229</v>
      </c>
      <c r="B10" s="172">
        <v>1</v>
      </c>
    </row>
    <row r="11" spans="1:2">
      <c r="A11" s="176" t="s">
        <v>214</v>
      </c>
      <c r="B11" s="172">
        <v>1</v>
      </c>
    </row>
    <row r="12" spans="1:2">
      <c r="A12" s="176" t="s">
        <v>215</v>
      </c>
      <c r="B12" s="172">
        <v>1</v>
      </c>
    </row>
    <row r="13" spans="1:2">
      <c r="A13" s="176" t="s">
        <v>216</v>
      </c>
      <c r="B13" s="172">
        <v>1</v>
      </c>
    </row>
    <row r="14" spans="1:2">
      <c r="A14" s="171" t="s">
        <v>217</v>
      </c>
      <c r="B14" s="175">
        <f>B15+B16</f>
        <v>2</v>
      </c>
    </row>
    <row r="15" spans="1:2">
      <c r="A15" s="177" t="s">
        <v>362</v>
      </c>
      <c r="B15" s="172">
        <v>1</v>
      </c>
    </row>
    <row r="16" spans="1:2">
      <c r="A16" s="177" t="s">
        <v>363</v>
      </c>
      <c r="B16" s="172">
        <v>1</v>
      </c>
    </row>
    <row r="17" spans="1:2">
      <c r="A17" s="171" t="s">
        <v>218</v>
      </c>
      <c r="B17" s="175">
        <f>B2+B14</f>
        <v>13</v>
      </c>
    </row>
    <row r="18" spans="1:2">
      <c r="A18" s="177" t="s">
        <v>232</v>
      </c>
      <c r="B18" s="178">
        <v>1</v>
      </c>
    </row>
    <row r="19" spans="1:2">
      <c r="A19" s="179" t="s">
        <v>270</v>
      </c>
      <c r="B19" s="180">
        <f>B17-B18</f>
        <v>12</v>
      </c>
    </row>
  </sheetData>
  <pageMargins left="0.78740157480314965" right="0" top="0.39370078740157483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2"/>
  <sheetViews>
    <sheetView workbookViewId="0">
      <selection sqref="A1:C1"/>
    </sheetView>
  </sheetViews>
  <sheetFormatPr defaultRowHeight="12.75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83" customWidth="1"/>
    <col min="5" max="10" width="9.140625" style="1"/>
    <col min="11" max="11" width="11" style="1" bestFit="1" customWidth="1"/>
    <col min="12" max="16384" width="9.140625" style="1"/>
  </cols>
  <sheetData>
    <row r="1" spans="1:12" ht="18">
      <c r="A1" s="424" t="s">
        <v>180</v>
      </c>
      <c r="B1" s="425"/>
      <c r="C1" s="426"/>
      <c r="D1" s="76"/>
      <c r="E1" s="76"/>
      <c r="F1" s="76"/>
    </row>
    <row r="2" spans="1:12" ht="14.25">
      <c r="A2" s="90" t="s">
        <v>110</v>
      </c>
      <c r="B2" s="91" t="s">
        <v>111</v>
      </c>
      <c r="C2" s="92" t="s">
        <v>112</v>
      </c>
      <c r="D2" s="93"/>
    </row>
    <row r="3" spans="1:12" ht="14.25">
      <c r="A3" s="90" t="s">
        <v>113</v>
      </c>
      <c r="B3" s="91" t="s">
        <v>34</v>
      </c>
      <c r="C3" s="94">
        <v>0.2</v>
      </c>
      <c r="D3" s="93"/>
      <c r="F3" s="83"/>
      <c r="G3" s="83"/>
      <c r="H3" s="83"/>
      <c r="I3" s="83"/>
      <c r="J3" s="83"/>
      <c r="K3" s="83"/>
      <c r="L3" s="83"/>
    </row>
    <row r="4" spans="1:12" ht="14.25">
      <c r="A4" s="90" t="s">
        <v>114</v>
      </c>
      <c r="B4" s="91" t="s">
        <v>115</v>
      </c>
      <c r="C4" s="94">
        <v>1.4999999999999999E-2</v>
      </c>
      <c r="D4" s="93"/>
      <c r="F4" s="83"/>
      <c r="G4" s="83"/>
      <c r="H4" s="83"/>
      <c r="I4" s="83"/>
      <c r="J4" s="83"/>
      <c r="K4" s="83"/>
      <c r="L4" s="83"/>
    </row>
    <row r="5" spans="1:12" ht="14.25">
      <c r="A5" s="90" t="s">
        <v>116</v>
      </c>
      <c r="B5" s="91" t="s">
        <v>117</v>
      </c>
      <c r="C5" s="94">
        <v>0.01</v>
      </c>
      <c r="D5" s="93"/>
      <c r="F5" s="83"/>
      <c r="G5" s="83"/>
      <c r="H5" s="83"/>
      <c r="I5" s="83"/>
      <c r="J5" s="83"/>
      <c r="K5" s="83"/>
      <c r="L5" s="83"/>
    </row>
    <row r="6" spans="1:12" ht="14.25">
      <c r="A6" s="90" t="s">
        <v>118</v>
      </c>
      <c r="B6" s="91" t="s">
        <v>119</v>
      </c>
      <c r="C6" s="94">
        <v>2E-3</v>
      </c>
      <c r="D6" s="93"/>
      <c r="F6" s="83"/>
      <c r="G6" s="83"/>
      <c r="H6" s="83"/>
      <c r="I6" s="83"/>
      <c r="J6" s="83"/>
      <c r="K6" s="83"/>
      <c r="L6" s="83"/>
    </row>
    <row r="7" spans="1:12" ht="14.25">
      <c r="A7" s="90" t="s">
        <v>120</v>
      </c>
      <c r="B7" s="91" t="s">
        <v>121</v>
      </c>
      <c r="C7" s="94">
        <v>6.0000000000000001E-3</v>
      </c>
      <c r="D7" s="93"/>
      <c r="F7" s="83"/>
      <c r="G7" s="83"/>
      <c r="H7" s="83"/>
      <c r="I7" s="83"/>
      <c r="J7" s="83"/>
      <c r="K7" s="83"/>
      <c r="L7" s="83"/>
    </row>
    <row r="8" spans="1:12" ht="14.25">
      <c r="A8" s="90" t="s">
        <v>122</v>
      </c>
      <c r="B8" s="91" t="s">
        <v>123</v>
      </c>
      <c r="C8" s="94">
        <v>2.5000000000000001E-2</v>
      </c>
      <c r="D8" s="93"/>
      <c r="F8" s="83"/>
      <c r="G8" s="83"/>
      <c r="H8" s="83"/>
      <c r="I8" s="83"/>
      <c r="J8" s="83"/>
      <c r="K8" s="83"/>
      <c r="L8" s="83"/>
    </row>
    <row r="9" spans="1:12" ht="14.25">
      <c r="A9" s="90" t="s">
        <v>124</v>
      </c>
      <c r="B9" s="91" t="s">
        <v>125</v>
      </c>
      <c r="C9" s="94">
        <v>0.03</v>
      </c>
      <c r="D9" s="93"/>
      <c r="F9" s="83"/>
      <c r="G9" s="83"/>
      <c r="H9" s="83"/>
      <c r="I9" s="83"/>
      <c r="J9" s="83"/>
      <c r="K9" s="83"/>
      <c r="L9" s="83"/>
    </row>
    <row r="10" spans="1:12" ht="14.25">
      <c r="A10" s="90" t="s">
        <v>126</v>
      </c>
      <c r="B10" s="91" t="s">
        <v>35</v>
      </c>
      <c r="C10" s="94">
        <v>0.08</v>
      </c>
      <c r="D10" s="95"/>
      <c r="F10" s="83"/>
      <c r="G10" s="83"/>
      <c r="H10" s="83"/>
      <c r="I10" s="83"/>
      <c r="J10" s="83"/>
      <c r="K10" s="83"/>
      <c r="L10" s="83"/>
    </row>
    <row r="11" spans="1:12" ht="15">
      <c r="A11" s="90" t="s">
        <v>127</v>
      </c>
      <c r="B11" s="96" t="s">
        <v>128</v>
      </c>
      <c r="C11" s="97">
        <f>SUM(C3:C10)</f>
        <v>0.36800000000000005</v>
      </c>
      <c r="D11" s="95"/>
      <c r="F11" s="83"/>
      <c r="G11" s="83"/>
      <c r="H11" s="83"/>
      <c r="I11" s="83"/>
      <c r="J11" s="83"/>
      <c r="K11" s="83"/>
      <c r="L11" s="83"/>
    </row>
    <row r="12" spans="1:12" ht="15">
      <c r="A12" s="98"/>
      <c r="B12" s="99"/>
      <c r="C12" s="100"/>
      <c r="D12" s="95"/>
      <c r="F12" s="83"/>
      <c r="G12" s="83"/>
      <c r="H12" s="83"/>
      <c r="I12" s="83"/>
      <c r="J12" s="83"/>
      <c r="K12" s="83"/>
      <c r="L12" s="83"/>
    </row>
    <row r="13" spans="1:12" ht="14.25">
      <c r="A13" s="90" t="s">
        <v>129</v>
      </c>
      <c r="B13" s="101" t="s">
        <v>130</v>
      </c>
      <c r="C13" s="94">
        <f>ROUND(IF('3.CAGED'!B26&gt;24,(1-12/'3.CAGED'!B26)*0.1111,0.1111-C22),4)</f>
        <v>6.5699999999999995E-2</v>
      </c>
      <c r="D13" s="95"/>
      <c r="F13" s="83"/>
      <c r="G13" s="83"/>
      <c r="H13" s="83"/>
      <c r="I13" s="83"/>
      <c r="J13" s="83"/>
      <c r="K13" s="83"/>
      <c r="L13" s="83"/>
    </row>
    <row r="14" spans="1:12" ht="14.25">
      <c r="A14" s="90" t="s">
        <v>131</v>
      </c>
      <c r="B14" s="101" t="s">
        <v>132</v>
      </c>
      <c r="C14" s="94">
        <f>ROUND('3.CAGED'!B30/'3.CAGED'!B27,4)</f>
        <v>8.3299999999999999E-2</v>
      </c>
      <c r="D14" s="95"/>
      <c r="F14" s="83"/>
      <c r="G14" s="83"/>
      <c r="H14" s="83"/>
      <c r="I14" s="83"/>
      <c r="J14" s="83"/>
      <c r="K14" s="83"/>
      <c r="L14" s="83"/>
    </row>
    <row r="15" spans="1:12" ht="14.25">
      <c r="A15" s="90" t="s">
        <v>173</v>
      </c>
      <c r="B15" s="101" t="s">
        <v>134</v>
      </c>
      <c r="C15" s="94">
        <v>5.9999999999999995E-4</v>
      </c>
      <c r="D15" s="95"/>
      <c r="F15" s="83"/>
      <c r="G15" s="83"/>
      <c r="H15" s="83"/>
      <c r="I15" s="83"/>
      <c r="J15" s="83"/>
      <c r="K15" s="83"/>
      <c r="L15" s="83"/>
    </row>
    <row r="16" spans="1:12" ht="14.25">
      <c r="A16" s="90" t="s">
        <v>133</v>
      </c>
      <c r="B16" s="101" t="s">
        <v>136</v>
      </c>
      <c r="C16" s="94">
        <v>8.2000000000000007E-3</v>
      </c>
      <c r="D16" s="95"/>
      <c r="F16" s="83"/>
      <c r="G16" s="83"/>
      <c r="H16" s="83"/>
      <c r="I16" s="83"/>
      <c r="J16" s="83"/>
      <c r="K16" s="83"/>
      <c r="L16" s="83"/>
    </row>
    <row r="17" spans="1:12" ht="14.25">
      <c r="A17" s="90" t="s">
        <v>135</v>
      </c>
      <c r="B17" s="101" t="s">
        <v>138</v>
      </c>
      <c r="C17" s="94">
        <v>3.0999999999999999E-3</v>
      </c>
      <c r="D17" s="95"/>
      <c r="F17" s="83"/>
      <c r="G17" s="83"/>
      <c r="H17" s="83"/>
      <c r="I17" s="83"/>
      <c r="J17" s="83"/>
      <c r="K17" s="83"/>
      <c r="L17" s="83"/>
    </row>
    <row r="18" spans="1:12" ht="14.25">
      <c r="A18" s="90" t="s">
        <v>137</v>
      </c>
      <c r="B18" s="101" t="s">
        <v>139</v>
      </c>
      <c r="C18" s="94">
        <v>1.66E-2</v>
      </c>
      <c r="D18" s="95"/>
      <c r="F18" s="83"/>
      <c r="G18" s="83"/>
      <c r="H18" s="83"/>
      <c r="I18" s="83"/>
      <c r="J18" s="83"/>
      <c r="K18" s="83"/>
      <c r="L18" s="83"/>
    </row>
    <row r="19" spans="1:12" ht="15">
      <c r="A19" s="90" t="s">
        <v>140</v>
      </c>
      <c r="B19" s="96" t="s">
        <v>141</v>
      </c>
      <c r="C19" s="97">
        <f>SUM(C13:C18)</f>
        <v>0.17749999999999999</v>
      </c>
      <c r="D19" s="102"/>
      <c r="F19" s="83"/>
      <c r="G19" s="83"/>
      <c r="H19" s="83"/>
      <c r="I19" s="83"/>
      <c r="J19" s="83"/>
      <c r="K19" s="83"/>
      <c r="L19" s="83"/>
    </row>
    <row r="20" spans="1:12" ht="15">
      <c r="A20" s="98"/>
      <c r="B20" s="99"/>
      <c r="C20" s="100"/>
      <c r="D20" s="102"/>
      <c r="F20" s="83"/>
      <c r="G20" s="83"/>
      <c r="H20" s="83"/>
      <c r="I20" s="83"/>
      <c r="J20" s="83"/>
      <c r="K20" s="83"/>
      <c r="L20" s="83"/>
    </row>
    <row r="21" spans="1:12" ht="14.25">
      <c r="A21" s="90" t="s">
        <v>142</v>
      </c>
      <c r="B21" s="91" t="s">
        <v>143</v>
      </c>
      <c r="C21" s="94">
        <f>ROUND(('3.CAGED'!B31) *'3.CAGED'!B24/'3.CAGED'!B27,4)</f>
        <v>2.9000000000000001E-2</v>
      </c>
      <c r="D21" s="95"/>
      <c r="E21" s="103"/>
      <c r="F21" s="83"/>
      <c r="G21" s="83"/>
      <c r="H21" s="83"/>
      <c r="I21" s="83"/>
      <c r="J21" s="83"/>
      <c r="K21" s="83"/>
      <c r="L21" s="83"/>
    </row>
    <row r="22" spans="1:12" ht="14.25">
      <c r="A22" s="90" t="s">
        <v>172</v>
      </c>
      <c r="B22" s="91" t="s">
        <v>145</v>
      </c>
      <c r="C22" s="94">
        <f>ROUND(IF('3.CAGED'!B26&gt;12,12/'3.CAGED'!B26*0.1111,0.1111),4)</f>
        <v>4.5400000000000003E-2</v>
      </c>
      <c r="D22" s="95"/>
      <c r="F22" s="83"/>
      <c r="G22" s="83"/>
      <c r="H22" s="104"/>
      <c r="I22" s="83"/>
      <c r="J22" s="83"/>
      <c r="K22" s="83"/>
      <c r="L22" s="83"/>
    </row>
    <row r="23" spans="1:12" ht="14.25">
      <c r="A23" s="90" t="s">
        <v>144</v>
      </c>
      <c r="B23" s="91" t="s">
        <v>147</v>
      </c>
      <c r="C23" s="94">
        <f>C21*C22</f>
        <v>1.3166000000000002E-3</v>
      </c>
      <c r="D23" s="95"/>
      <c r="E23" s="103"/>
      <c r="F23" s="83"/>
      <c r="G23" s="83"/>
      <c r="H23" s="83"/>
      <c r="I23" s="83"/>
      <c r="J23" s="83"/>
      <c r="K23" s="83"/>
      <c r="L23" s="83"/>
    </row>
    <row r="24" spans="1:12" ht="14.25">
      <c r="A24" s="90" t="s">
        <v>146</v>
      </c>
      <c r="B24" s="91" t="s">
        <v>149</v>
      </c>
      <c r="C24" s="94">
        <f>ROUND(('3.CAGED'!B27+'3.CAGED'!B28+'3.CAGED'!B30)/'3.CAGED'!B25*'3.CAGED'!B32*'3.CAGED'!B33*'3.CAGED'!B24/'3.CAGED'!B27,4)</f>
        <v>3.15E-2</v>
      </c>
      <c r="D24" s="95"/>
      <c r="F24" s="83"/>
      <c r="G24" s="105"/>
      <c r="H24" s="83"/>
      <c r="I24" s="83"/>
      <c r="J24" s="83"/>
      <c r="K24" s="83"/>
      <c r="L24" s="83"/>
    </row>
    <row r="25" spans="1:12" ht="14.25">
      <c r="A25" s="90" t="s">
        <v>148</v>
      </c>
      <c r="B25" s="91" t="s">
        <v>150</v>
      </c>
      <c r="C25" s="94">
        <f>ROUND(('3.CAGED'!B29/'3.CAGED'!B27)*'3.CAGED'!B24/12,4)</f>
        <v>2E-3</v>
      </c>
      <c r="D25" s="95"/>
      <c r="F25" s="83"/>
      <c r="G25" s="83"/>
      <c r="H25" s="83"/>
      <c r="I25" s="83"/>
      <c r="J25" s="83"/>
      <c r="K25" s="83"/>
      <c r="L25" s="83"/>
    </row>
    <row r="26" spans="1:12" ht="15">
      <c r="A26" s="90" t="s">
        <v>151</v>
      </c>
      <c r="B26" s="96" t="s">
        <v>152</v>
      </c>
      <c r="C26" s="97">
        <f>SUM(C21:C25)</f>
        <v>0.10921660000000001</v>
      </c>
      <c r="D26" s="102"/>
      <c r="F26" s="83"/>
      <c r="G26" s="83"/>
      <c r="H26" s="83"/>
      <c r="I26" s="83"/>
      <c r="J26" s="83"/>
      <c r="K26" s="83"/>
      <c r="L26" s="83"/>
    </row>
    <row r="27" spans="1:12" ht="15">
      <c r="A27" s="98"/>
      <c r="B27" s="99"/>
      <c r="C27" s="100"/>
      <c r="D27" s="102"/>
      <c r="F27" s="83"/>
      <c r="G27" s="83"/>
      <c r="H27" s="83"/>
      <c r="I27" s="83"/>
      <c r="J27" s="83"/>
      <c r="K27" s="83"/>
      <c r="L27" s="83"/>
    </row>
    <row r="28" spans="1:12" ht="14.25">
      <c r="A28" s="90" t="s">
        <v>153</v>
      </c>
      <c r="B28" s="91" t="s">
        <v>154</v>
      </c>
      <c r="C28" s="94">
        <f>ROUND(C11*C19,4)</f>
        <v>6.5299999999999997E-2</v>
      </c>
      <c r="D28" s="95"/>
      <c r="F28" s="83"/>
      <c r="G28" s="83"/>
      <c r="H28" s="83"/>
      <c r="I28" s="83"/>
      <c r="J28" s="83"/>
      <c r="K28" s="83"/>
      <c r="L28" s="83"/>
    </row>
    <row r="29" spans="1:12" ht="28.5">
      <c r="A29" s="90" t="s">
        <v>155</v>
      </c>
      <c r="B29" s="106" t="s">
        <v>200</v>
      </c>
      <c r="C29" s="94">
        <f>ROUND((C21*C10),4)</f>
        <v>2.3E-3</v>
      </c>
      <c r="D29" s="95"/>
      <c r="F29" s="83"/>
      <c r="G29" s="83"/>
      <c r="H29" s="83"/>
      <c r="I29" s="83"/>
      <c r="J29" s="83"/>
      <c r="K29" s="83"/>
      <c r="L29" s="83"/>
    </row>
    <row r="30" spans="1:12" ht="15">
      <c r="A30" s="90" t="s">
        <v>156</v>
      </c>
      <c r="B30" s="96" t="s">
        <v>157</v>
      </c>
      <c r="C30" s="97">
        <f>SUM(C28:C29)</f>
        <v>6.7599999999999993E-2</v>
      </c>
      <c r="D30" s="107"/>
      <c r="F30" s="83"/>
      <c r="G30" s="83"/>
      <c r="H30" s="83"/>
      <c r="I30" s="83"/>
      <c r="J30" s="83"/>
      <c r="K30" s="83"/>
      <c r="L30" s="83"/>
    </row>
    <row r="31" spans="1:12" ht="15.75" thickBot="1">
      <c r="A31" s="108"/>
      <c r="B31" s="109" t="s">
        <v>158</v>
      </c>
      <c r="C31" s="110">
        <f>C30+C26+C19+C11</f>
        <v>0.72231660000000009</v>
      </c>
      <c r="D31" s="107"/>
      <c r="F31" s="83"/>
      <c r="G31" s="83"/>
      <c r="H31" s="83"/>
      <c r="I31" s="83"/>
      <c r="J31" s="83"/>
      <c r="K31" s="83"/>
      <c r="L31" s="83"/>
    </row>
    <row r="32" spans="1:12" ht="15">
      <c r="A32" s="95"/>
      <c r="B32" s="111"/>
      <c r="C32" s="112"/>
      <c r="D32" s="113"/>
      <c r="F32" s="83"/>
      <c r="G32" s="83"/>
      <c r="H32" s="83"/>
      <c r="I32" s="83"/>
      <c r="J32" s="83"/>
      <c r="K32" s="83"/>
      <c r="L32" s="83"/>
    </row>
    <row r="33" spans="1:12" ht="14.25">
      <c r="A33" s="95"/>
      <c r="B33" s="95"/>
      <c r="C33" s="114"/>
      <c r="D33" s="115"/>
      <c r="F33" s="83"/>
      <c r="G33" s="83"/>
      <c r="H33" s="83"/>
      <c r="I33" s="83"/>
      <c r="J33" s="83"/>
      <c r="K33" s="83"/>
      <c r="L33" s="83"/>
    </row>
    <row r="34" spans="1:12" ht="14.25">
      <c r="A34" s="93"/>
      <c r="B34" s="93"/>
      <c r="C34" s="116"/>
      <c r="D34" s="93"/>
      <c r="F34" s="83"/>
      <c r="G34" s="83"/>
      <c r="H34" s="83"/>
      <c r="I34" s="83"/>
      <c r="J34" s="83"/>
      <c r="K34" s="83"/>
      <c r="L34" s="83"/>
    </row>
    <row r="35" spans="1:12" ht="14.25">
      <c r="A35" s="93"/>
      <c r="B35" s="93"/>
      <c r="C35" s="116"/>
      <c r="D35" s="93"/>
      <c r="F35" s="83"/>
      <c r="G35" s="83"/>
      <c r="H35" s="83"/>
      <c r="I35" s="83"/>
      <c r="J35" s="83"/>
      <c r="K35" s="83"/>
      <c r="L35" s="83"/>
    </row>
    <row r="36" spans="1:12" ht="14.25">
      <c r="A36" s="93"/>
      <c r="B36" s="93"/>
      <c r="C36" s="116"/>
      <c r="D36" s="93"/>
      <c r="F36" s="83"/>
      <c r="G36" s="83"/>
      <c r="H36" s="83"/>
      <c r="I36" s="83"/>
      <c r="J36" s="83"/>
      <c r="K36" s="83"/>
      <c r="L36" s="83"/>
    </row>
    <row r="37" spans="1:12" ht="15">
      <c r="A37" s="93"/>
      <c r="B37" s="117"/>
      <c r="C37" s="118"/>
      <c r="D37" s="93"/>
      <c r="F37" s="83"/>
      <c r="G37" s="83"/>
      <c r="H37" s="83"/>
      <c r="I37" s="83"/>
      <c r="J37" s="83"/>
      <c r="K37" s="83"/>
      <c r="L37" s="83"/>
    </row>
    <row r="38" spans="1:12" ht="15">
      <c r="A38" s="107"/>
      <c r="B38" s="117"/>
      <c r="C38" s="118"/>
      <c r="D38" s="107"/>
      <c r="E38" s="83"/>
      <c r="F38" s="83"/>
      <c r="G38" s="83"/>
      <c r="H38" s="83"/>
      <c r="I38" s="83"/>
      <c r="J38" s="83"/>
      <c r="K38" s="83"/>
      <c r="L38" s="83"/>
    </row>
    <row r="39" spans="1:12" ht="16.5">
      <c r="A39" s="119"/>
      <c r="B39" s="83"/>
      <c r="C39" s="83"/>
      <c r="E39" s="83"/>
      <c r="F39" s="83"/>
      <c r="G39" s="83"/>
      <c r="H39" s="83"/>
      <c r="I39" s="83"/>
      <c r="J39" s="83"/>
      <c r="K39" s="83"/>
      <c r="L39" s="83"/>
    </row>
    <row r="40" spans="1:12">
      <c r="A40" s="120"/>
      <c r="B40" s="121"/>
      <c r="C40" s="121"/>
      <c r="E40" s="83"/>
      <c r="F40" s="83"/>
      <c r="G40" s="83"/>
      <c r="H40" s="83"/>
      <c r="I40" s="83"/>
      <c r="J40" s="83"/>
      <c r="K40" s="83"/>
      <c r="L40" s="83"/>
    </row>
    <row r="41" spans="1:12" ht="14.25">
      <c r="A41" s="93"/>
      <c r="B41" s="122"/>
      <c r="C41" s="121"/>
      <c r="E41" s="83"/>
      <c r="F41" s="83"/>
      <c r="G41" s="83"/>
      <c r="H41" s="83"/>
      <c r="I41" s="83"/>
      <c r="J41" s="83"/>
      <c r="K41" s="83"/>
      <c r="L41" s="83"/>
    </row>
    <row r="42" spans="1:12" ht="14.25">
      <c r="A42" s="93"/>
      <c r="B42" s="122"/>
      <c r="C42" s="93"/>
      <c r="E42" s="83"/>
      <c r="F42" s="83"/>
      <c r="G42" s="83"/>
      <c r="H42" s="83"/>
      <c r="I42" s="83"/>
      <c r="J42" s="83"/>
      <c r="K42" s="83"/>
      <c r="L42" s="83"/>
    </row>
    <row r="43" spans="1:12" ht="14.25">
      <c r="A43" s="93"/>
      <c r="B43" s="116"/>
      <c r="C43" s="121"/>
      <c r="E43" s="83"/>
      <c r="F43" s="83"/>
      <c r="G43" s="83"/>
      <c r="H43" s="83"/>
      <c r="I43" s="83"/>
      <c r="J43" s="83"/>
      <c r="K43" s="83"/>
      <c r="L43" s="83"/>
    </row>
    <row r="44" spans="1:12" ht="14.25">
      <c r="A44" s="93"/>
      <c r="B44" s="122"/>
      <c r="C44" s="93"/>
      <c r="E44" s="83"/>
      <c r="F44" s="83"/>
      <c r="G44" s="83"/>
      <c r="H44" s="83"/>
      <c r="I44" s="83"/>
      <c r="J44" s="83"/>
      <c r="K44" s="83"/>
      <c r="L44" s="83"/>
    </row>
    <row r="45" spans="1:12" ht="14.25">
      <c r="A45" s="93"/>
      <c r="B45" s="116"/>
      <c r="C45" s="121"/>
      <c r="E45" s="83"/>
      <c r="F45" s="83"/>
      <c r="G45" s="83"/>
      <c r="H45" s="83"/>
      <c r="I45" s="83"/>
      <c r="J45" s="83"/>
      <c r="K45" s="83"/>
      <c r="L45" s="83"/>
    </row>
    <row r="46" spans="1:12" ht="14.25">
      <c r="A46" s="93"/>
      <c r="B46" s="122"/>
      <c r="C46" s="93"/>
      <c r="E46" s="83"/>
      <c r="F46" s="83"/>
      <c r="G46" s="83"/>
      <c r="H46" s="83"/>
      <c r="I46" s="83"/>
      <c r="J46" s="83"/>
      <c r="K46" s="83"/>
      <c r="L46" s="83"/>
    </row>
    <row r="47" spans="1:12" ht="14.25">
      <c r="A47" s="93"/>
      <c r="B47" s="116"/>
      <c r="C47" s="121"/>
      <c r="E47" s="83"/>
      <c r="F47" s="83"/>
      <c r="G47" s="83"/>
      <c r="H47" s="83"/>
      <c r="I47" s="83"/>
      <c r="J47" s="83"/>
      <c r="K47" s="83"/>
      <c r="L47" s="83"/>
    </row>
    <row r="48" spans="1:12" ht="14.25">
      <c r="A48" s="93"/>
      <c r="B48" s="122"/>
      <c r="C48" s="93"/>
      <c r="E48" s="83"/>
      <c r="F48" s="83"/>
      <c r="G48" s="83"/>
      <c r="H48" s="83"/>
      <c r="I48" s="83"/>
      <c r="J48" s="83"/>
      <c r="K48" s="83"/>
      <c r="L48" s="83"/>
    </row>
    <row r="49" spans="1:12" ht="14.25">
      <c r="A49" s="93"/>
      <c r="B49" s="116"/>
      <c r="C49" s="121"/>
      <c r="E49" s="83"/>
      <c r="F49" s="83"/>
      <c r="G49" s="83"/>
      <c r="H49" s="83"/>
      <c r="I49" s="83"/>
      <c r="J49" s="83"/>
      <c r="K49" s="83"/>
      <c r="L49" s="83"/>
    </row>
    <row r="50" spans="1:12" ht="16.5">
      <c r="A50" s="119"/>
      <c r="B50" s="83"/>
      <c r="C50" s="83"/>
      <c r="E50" s="83"/>
      <c r="F50" s="83"/>
      <c r="G50" s="83"/>
      <c r="H50" s="83"/>
      <c r="I50" s="83"/>
      <c r="J50" s="83"/>
      <c r="K50" s="83"/>
      <c r="L50" s="83"/>
    </row>
    <row r="51" spans="1:12">
      <c r="A51" s="83"/>
      <c r="B51" s="83"/>
      <c r="C51" s="83"/>
      <c r="E51" s="83"/>
      <c r="F51" s="83"/>
      <c r="G51" s="83"/>
      <c r="H51" s="83"/>
      <c r="I51" s="83"/>
      <c r="J51" s="83"/>
      <c r="K51" s="83"/>
      <c r="L51" s="83"/>
    </row>
    <row r="52" spans="1:12">
      <c r="A52" s="83"/>
      <c r="B52" s="83"/>
      <c r="C52" s="83"/>
      <c r="E52" s="83"/>
      <c r="F52" s="83"/>
      <c r="G52" s="83"/>
      <c r="H52" s="83"/>
      <c r="I52" s="83"/>
      <c r="J52" s="83"/>
      <c r="K52" s="83"/>
      <c r="L52" s="83"/>
    </row>
    <row r="53" spans="1:12">
      <c r="A53" s="123"/>
      <c r="B53" s="83"/>
      <c r="C53" s="83"/>
      <c r="E53" s="83"/>
      <c r="F53" s="83"/>
      <c r="G53" s="83"/>
      <c r="H53" s="83"/>
      <c r="I53" s="83"/>
      <c r="J53" s="83"/>
      <c r="K53" s="83"/>
      <c r="L53" s="83"/>
    </row>
    <row r="54" spans="1:12">
      <c r="A54" s="83"/>
      <c r="B54" s="83"/>
      <c r="C54" s="83"/>
      <c r="E54" s="83"/>
    </row>
    <row r="55" spans="1:12">
      <c r="A55" s="83"/>
      <c r="B55" s="83"/>
      <c r="C55" s="83"/>
      <c r="E55" s="83"/>
    </row>
    <row r="56" spans="1:12">
      <c r="A56" s="83"/>
      <c r="B56" s="83"/>
      <c r="C56" s="83"/>
      <c r="E56" s="83"/>
    </row>
    <row r="57" spans="1:12">
      <c r="A57" s="83"/>
      <c r="B57" s="83"/>
      <c r="C57" s="83"/>
      <c r="E57" s="83"/>
    </row>
    <row r="58" spans="1:12">
      <c r="A58" s="83"/>
      <c r="B58" s="83"/>
      <c r="C58" s="83"/>
      <c r="E58" s="83"/>
    </row>
    <row r="59" spans="1:12">
      <c r="A59" s="83"/>
      <c r="B59" s="83"/>
      <c r="C59" s="83"/>
      <c r="E59" s="83"/>
    </row>
    <row r="60" spans="1:12">
      <c r="A60" s="83"/>
      <c r="B60" s="83"/>
      <c r="C60" s="83"/>
      <c r="E60" s="83"/>
    </row>
    <row r="61" spans="1:12">
      <c r="A61" s="83"/>
      <c r="B61" s="83"/>
      <c r="C61" s="83"/>
      <c r="E61" s="83"/>
    </row>
    <row r="62" spans="1:12">
      <c r="A62" s="83"/>
      <c r="B62" s="83"/>
      <c r="C62" s="83"/>
      <c r="E62" s="83"/>
    </row>
  </sheetData>
  <mergeCells count="1">
    <mergeCell ref="A1:C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workbookViewId="0"/>
  </sheetViews>
  <sheetFormatPr defaultRowHeight="12.75"/>
  <cols>
    <col min="1" max="1" width="75.85546875" style="1" customWidth="1"/>
    <col min="2" max="2" width="12.85546875" style="1" customWidth="1"/>
    <col min="3" max="3" width="2.4257812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2">
      <c r="A1" s="56" t="s">
        <v>189</v>
      </c>
    </row>
    <row r="3" spans="1:2" ht="44.25" customHeight="1">
      <c r="A3" s="429" t="s">
        <v>326</v>
      </c>
      <c r="B3" s="429"/>
    </row>
    <row r="4" spans="1:2" ht="13.5" thickBot="1"/>
    <row r="5" spans="1:2" ht="18">
      <c r="A5" s="427" t="s">
        <v>179</v>
      </c>
      <c r="B5" s="428"/>
    </row>
    <row r="6" spans="1:2" ht="15">
      <c r="A6" s="82" t="s">
        <v>164</v>
      </c>
      <c r="B6" s="124"/>
    </row>
    <row r="7" spans="1:2" ht="15">
      <c r="A7" s="84" t="s">
        <v>95</v>
      </c>
      <c r="B7" s="85">
        <v>1932</v>
      </c>
    </row>
    <row r="8" spans="1:2" ht="15">
      <c r="A8" s="86" t="s">
        <v>96</v>
      </c>
      <c r="B8" s="85">
        <v>2197</v>
      </c>
    </row>
    <row r="9" spans="1:2" ht="14.25">
      <c r="A9" s="125" t="s">
        <v>97</v>
      </c>
      <c r="B9" s="126">
        <v>25</v>
      </c>
    </row>
    <row r="10" spans="1:2" ht="14.25">
      <c r="A10" s="125" t="s">
        <v>98</v>
      </c>
      <c r="B10" s="126">
        <v>1463</v>
      </c>
    </row>
    <row r="11" spans="1:2" ht="14.25">
      <c r="A11" s="125" t="s">
        <v>99</v>
      </c>
      <c r="B11" s="126">
        <v>321</v>
      </c>
    </row>
    <row r="12" spans="1:2" ht="14.25">
      <c r="A12" s="125" t="s">
        <v>100</v>
      </c>
      <c r="B12" s="126">
        <v>12</v>
      </c>
    </row>
    <row r="13" spans="1:2" ht="14.25">
      <c r="A13" s="125" t="s">
        <v>101</v>
      </c>
      <c r="B13" s="126">
        <v>339</v>
      </c>
    </row>
    <row r="14" spans="1:2" ht="14.25">
      <c r="A14" s="125" t="s">
        <v>102</v>
      </c>
      <c r="B14" s="126">
        <v>0</v>
      </c>
    </row>
    <row r="15" spans="1:2" ht="14.25">
      <c r="A15" s="125" t="s">
        <v>103</v>
      </c>
      <c r="B15" s="126">
        <v>22</v>
      </c>
    </row>
    <row r="16" spans="1:2" ht="14.25">
      <c r="A16" s="127" t="s">
        <v>104</v>
      </c>
      <c r="B16" s="128">
        <v>0</v>
      </c>
    </row>
    <row r="17" spans="1:4" ht="14.25">
      <c r="A17" s="169" t="s">
        <v>205</v>
      </c>
      <c r="B17" s="128">
        <v>0</v>
      </c>
    </row>
    <row r="18" spans="1:4" ht="15">
      <c r="A18" s="82" t="s">
        <v>105</v>
      </c>
      <c r="B18" s="124"/>
    </row>
    <row r="19" spans="1:4" ht="14.25">
      <c r="A19" s="129" t="s">
        <v>206</v>
      </c>
      <c r="B19" s="130">
        <v>5183</v>
      </c>
    </row>
    <row r="20" spans="1:4" ht="14.25">
      <c r="A20" s="125" t="s">
        <v>207</v>
      </c>
      <c r="B20" s="126">
        <v>4918</v>
      </c>
    </row>
    <row r="21" spans="1:4" ht="14.25">
      <c r="A21" s="125" t="s">
        <v>208</v>
      </c>
      <c r="B21" s="164">
        <f>B7-B8</f>
        <v>-265</v>
      </c>
    </row>
    <row r="22" spans="1:4" ht="14.25">
      <c r="A22" s="131"/>
      <c r="B22" s="132"/>
    </row>
    <row r="23" spans="1:4" s="56" customFormat="1" ht="15">
      <c r="A23" s="84" t="s">
        <v>107</v>
      </c>
      <c r="B23" s="133">
        <f>MEDIAN(B19,B20)</f>
        <v>5050.5</v>
      </c>
    </row>
    <row r="24" spans="1:4" ht="15">
      <c r="A24" s="86" t="s">
        <v>203</v>
      </c>
      <c r="B24" s="167">
        <f>B10/B23</f>
        <v>0.28967428967428965</v>
      </c>
    </row>
    <row r="25" spans="1:4" ht="15">
      <c r="A25" s="86" t="s">
        <v>204</v>
      </c>
      <c r="B25" s="167">
        <f>MEDIAN(B7,B8)/B23</f>
        <v>0.40877140877140877</v>
      </c>
      <c r="D25" s="160"/>
    </row>
    <row r="26" spans="1:4" s="56" customFormat="1" ht="15">
      <c r="A26" s="86" t="s">
        <v>193</v>
      </c>
      <c r="B26" s="165">
        <f>12/B25</f>
        <v>29.356260595785905</v>
      </c>
    </row>
    <row r="27" spans="1:4" ht="15">
      <c r="A27" s="86" t="s">
        <v>106</v>
      </c>
      <c r="B27" s="88">
        <v>360</v>
      </c>
    </row>
    <row r="28" spans="1:4" ht="15">
      <c r="A28" s="86" t="s">
        <v>190</v>
      </c>
      <c r="B28" s="88">
        <v>10</v>
      </c>
    </row>
    <row r="29" spans="1:4" ht="15">
      <c r="A29" s="84" t="s">
        <v>191</v>
      </c>
      <c r="B29" s="87">
        <v>30</v>
      </c>
    </row>
    <row r="30" spans="1:4" ht="15">
      <c r="A30" s="84" t="s">
        <v>192</v>
      </c>
      <c r="B30" s="87">
        <v>30</v>
      </c>
    </row>
    <row r="31" spans="1:4" s="56" customFormat="1" ht="15">
      <c r="A31" s="84" t="s">
        <v>109</v>
      </c>
      <c r="B31" s="87">
        <f>30+(3*TRUNC(1/B25))</f>
        <v>36</v>
      </c>
    </row>
    <row r="32" spans="1:4" s="56" customFormat="1" ht="15">
      <c r="A32" s="86" t="s">
        <v>35</v>
      </c>
      <c r="B32" s="166">
        <v>0.08</v>
      </c>
    </row>
    <row r="33" spans="1:2" s="56" customFormat="1" ht="15.75" thickBot="1">
      <c r="A33" s="89" t="s">
        <v>108</v>
      </c>
      <c r="B33" s="168">
        <v>0.5</v>
      </c>
    </row>
  </sheetData>
  <mergeCells count="2">
    <mergeCell ref="A5:B5"/>
    <mergeCell ref="A3:B3"/>
  </mergeCells>
  <pageMargins left="0.78740157480314965" right="0" top="0.78740157480314965" bottom="0.39370078740157483" header="0" footer="0"/>
  <pageSetup paperSize="9" scale="98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zoomScale="120" zoomScaleNormal="120" workbookViewId="0">
      <selection sqref="A1:C1"/>
    </sheetView>
  </sheetViews>
  <sheetFormatPr defaultRowHeight="12.75"/>
  <cols>
    <col min="1" max="1" width="41.85546875" bestFit="1" customWidth="1"/>
    <col min="2" max="2" width="8.140625" customWidth="1"/>
    <col min="3" max="3" width="11.28515625" customWidth="1"/>
    <col min="4" max="4" width="9.7109375" bestFit="1" customWidth="1"/>
    <col min="5" max="5" width="8" style="60" bestFit="1" customWidth="1"/>
    <col min="6" max="6" width="9.7109375" bestFit="1" customWidth="1"/>
  </cols>
  <sheetData>
    <row r="1" spans="1:8" s="2" customFormat="1" ht="15.6" customHeight="1" thickBot="1">
      <c r="A1" s="430" t="s">
        <v>319</v>
      </c>
      <c r="B1" s="431"/>
      <c r="C1" s="432"/>
      <c r="D1" s="69"/>
      <c r="E1" s="69"/>
      <c r="F1" s="69"/>
      <c r="G1" s="3"/>
    </row>
    <row r="2" spans="1:8" ht="16.5" thickBot="1">
      <c r="A2" s="438" t="s">
        <v>320</v>
      </c>
      <c r="B2" s="439"/>
      <c r="C2" s="440"/>
      <c r="D2" s="69"/>
      <c r="E2" s="69"/>
      <c r="F2" s="69"/>
      <c r="G2" s="3"/>
    </row>
    <row r="3" spans="1:8" ht="15" hidden="1" customHeight="1">
      <c r="A3" s="134"/>
      <c r="B3" s="73"/>
      <c r="C3" s="263"/>
      <c r="D3" s="69"/>
      <c r="E3" s="69"/>
      <c r="F3" s="69"/>
      <c r="G3" s="3"/>
      <c r="H3" s="74"/>
    </row>
    <row r="4" spans="1:8" ht="15" hidden="1" customHeight="1" thickBot="1">
      <c r="A4" s="131"/>
      <c r="B4" s="135"/>
      <c r="C4" s="132"/>
      <c r="D4" s="69"/>
      <c r="E4" s="69"/>
      <c r="F4" s="69"/>
      <c r="G4" s="3"/>
      <c r="H4" s="74"/>
    </row>
    <row r="5" spans="1:8" ht="14.25">
      <c r="A5" s="136" t="s">
        <v>58</v>
      </c>
      <c r="B5" s="137" t="s">
        <v>59</v>
      </c>
      <c r="C5" s="387">
        <v>0.05</v>
      </c>
      <c r="D5" s="69"/>
      <c r="E5" s="69"/>
      <c r="F5" s="69"/>
      <c r="G5" s="3"/>
      <c r="H5" s="74"/>
    </row>
    <row r="6" spans="1:8" ht="14.25">
      <c r="A6" s="138" t="s">
        <v>60</v>
      </c>
      <c r="B6" s="245" t="s">
        <v>61</v>
      </c>
      <c r="C6" s="388">
        <v>1.2999999999999999E-2</v>
      </c>
      <c r="D6" s="69"/>
      <c r="E6" s="69"/>
      <c r="F6" s="69"/>
      <c r="G6" s="3"/>
      <c r="H6" s="74"/>
    </row>
    <row r="7" spans="1:8" ht="14.25">
      <c r="A7" s="138" t="s">
        <v>62</v>
      </c>
      <c r="B7" s="245" t="s">
        <v>63</v>
      </c>
      <c r="C7" s="388">
        <v>0.1</v>
      </c>
      <c r="D7" s="69"/>
      <c r="E7" s="69"/>
      <c r="F7" s="69"/>
      <c r="G7" s="3"/>
      <c r="H7" s="74"/>
    </row>
    <row r="8" spans="1:8" ht="14.25">
      <c r="A8" s="138" t="s">
        <v>64</v>
      </c>
      <c r="B8" s="245" t="s">
        <v>65</v>
      </c>
      <c r="C8" s="139">
        <f>(1+E8)^(E9/252)-1</f>
        <v>0</v>
      </c>
      <c r="D8" s="69"/>
      <c r="E8" s="69"/>
      <c r="F8" s="69"/>
      <c r="G8" s="3"/>
      <c r="H8" s="74"/>
    </row>
    <row r="9" spans="1:8" ht="14.25">
      <c r="A9" s="138" t="s">
        <v>66</v>
      </c>
      <c r="B9" s="433" t="s">
        <v>67</v>
      </c>
      <c r="C9" s="388">
        <v>0.02</v>
      </c>
      <c r="D9" s="69"/>
      <c r="E9" s="69"/>
      <c r="F9" s="69"/>
      <c r="G9" s="3"/>
      <c r="H9" s="74"/>
    </row>
    <row r="10" spans="1:8" ht="15" thickBot="1">
      <c r="A10" s="140" t="s">
        <v>68</v>
      </c>
      <c r="B10" s="434"/>
      <c r="C10" s="389">
        <v>9.2499999999999999E-2</v>
      </c>
      <c r="D10" s="69"/>
      <c r="E10" s="69"/>
      <c r="F10" s="69"/>
      <c r="G10" s="3"/>
      <c r="H10" s="74"/>
    </row>
    <row r="11" spans="1:8" ht="14.25">
      <c r="A11" s="141" t="s">
        <v>69</v>
      </c>
      <c r="B11" s="142"/>
      <c r="C11" s="143"/>
      <c r="D11" s="69"/>
      <c r="E11" s="69"/>
      <c r="F11" s="69"/>
      <c r="G11" s="3"/>
      <c r="H11" s="74"/>
    </row>
    <row r="12" spans="1:8" ht="15" thickBot="1">
      <c r="A12" s="144" t="s">
        <v>70</v>
      </c>
      <c r="B12" s="145"/>
      <c r="C12" s="146"/>
      <c r="D12" s="69"/>
      <c r="E12" s="69"/>
      <c r="F12" s="69"/>
      <c r="G12" s="3"/>
      <c r="H12" s="74"/>
    </row>
    <row r="13" spans="1:8" ht="15.75" thickBot="1">
      <c r="A13" s="260" t="s">
        <v>71</v>
      </c>
      <c r="B13" s="261"/>
      <c r="C13" s="262">
        <f>ROUND((((1+C5+C6)*(1+C7)*(1+C8))/(1-(C9+C10))-1),4)</f>
        <v>0.3175</v>
      </c>
      <c r="D13" s="69"/>
      <c r="E13" s="69"/>
      <c r="F13" s="69"/>
      <c r="G13" s="3"/>
      <c r="H13" s="74"/>
    </row>
    <row r="14" spans="1:8" ht="15" thickBot="1">
      <c r="A14" s="74"/>
      <c r="B14" s="74"/>
      <c r="C14" s="74"/>
      <c r="D14" s="69"/>
      <c r="E14" s="69"/>
      <c r="F14" s="69"/>
      <c r="G14" s="3"/>
      <c r="H14" s="74"/>
    </row>
    <row r="15" spans="1:8" s="2" customFormat="1" ht="15.6" customHeight="1" thickBot="1">
      <c r="A15" s="430" t="s">
        <v>321</v>
      </c>
      <c r="B15" s="431"/>
      <c r="C15" s="432"/>
      <c r="D15" s="69"/>
      <c r="E15" s="69"/>
      <c r="F15" s="69"/>
      <c r="G15" s="3"/>
    </row>
    <row r="16" spans="1:8" ht="15.75">
      <c r="A16" s="435" t="s">
        <v>320</v>
      </c>
      <c r="B16" s="436"/>
      <c r="C16" s="437"/>
      <c r="D16" s="69"/>
      <c r="E16" s="69"/>
      <c r="F16" s="69"/>
    </row>
    <row r="17" spans="1:8" ht="16.5" thickBot="1">
      <c r="A17" s="289"/>
      <c r="B17" s="290"/>
      <c r="C17" s="291"/>
      <c r="D17" s="69"/>
      <c r="E17" s="69"/>
      <c r="F17" s="69"/>
    </row>
    <row r="18" spans="1:8" ht="14.25">
      <c r="A18" s="136" t="s">
        <v>58</v>
      </c>
      <c r="B18" s="137" t="s">
        <v>59</v>
      </c>
      <c r="C18" s="387">
        <v>0.05</v>
      </c>
      <c r="D18" s="69"/>
      <c r="E18" s="69"/>
      <c r="F18" s="69"/>
      <c r="G18" s="74"/>
      <c r="H18" s="74"/>
    </row>
    <row r="19" spans="1:8" ht="14.25">
      <c r="A19" s="138" t="s">
        <v>60</v>
      </c>
      <c r="B19" s="277" t="s">
        <v>61</v>
      </c>
      <c r="C19" s="388">
        <v>1.2999999999999999E-2</v>
      </c>
      <c r="D19" s="69"/>
      <c r="E19" s="69"/>
      <c r="F19" s="69"/>
      <c r="G19" s="74"/>
      <c r="H19" s="74"/>
    </row>
    <row r="20" spans="1:8" ht="14.25">
      <c r="A20" s="138" t="s">
        <v>62</v>
      </c>
      <c r="B20" s="277" t="s">
        <v>63</v>
      </c>
      <c r="C20" s="388">
        <v>0.1</v>
      </c>
      <c r="D20" s="69"/>
      <c r="E20" s="69"/>
      <c r="F20" s="69"/>
      <c r="G20" s="74"/>
      <c r="H20" s="74"/>
    </row>
    <row r="21" spans="1:8" ht="14.25">
      <c r="A21" s="138" t="s">
        <v>64</v>
      </c>
      <c r="B21" s="277" t="s">
        <v>65</v>
      </c>
      <c r="C21" s="139">
        <v>0</v>
      </c>
      <c r="D21" s="69"/>
      <c r="E21" s="69"/>
      <c r="F21" s="69"/>
      <c r="G21" s="74"/>
      <c r="H21" s="74"/>
    </row>
    <row r="22" spans="1:8" ht="14.25">
      <c r="A22" s="138" t="s">
        <v>66</v>
      </c>
      <c r="B22" s="433" t="s">
        <v>67</v>
      </c>
      <c r="C22" s="388">
        <v>0.02</v>
      </c>
      <c r="D22" s="69"/>
      <c r="E22" s="69"/>
      <c r="F22" s="69"/>
      <c r="G22" s="74"/>
      <c r="H22" s="74"/>
    </row>
    <row r="23" spans="1:8" ht="15" thickBot="1">
      <c r="A23" s="140" t="s">
        <v>68</v>
      </c>
      <c r="B23" s="434"/>
      <c r="C23" s="389">
        <v>3.6499999999999998E-2</v>
      </c>
      <c r="D23" s="69"/>
      <c r="E23" s="69"/>
      <c r="F23" s="69"/>
      <c r="G23" s="74"/>
      <c r="H23" s="74"/>
    </row>
    <row r="24" spans="1:8" ht="14.25">
      <c r="A24" s="141" t="s">
        <v>69</v>
      </c>
      <c r="B24" s="142"/>
      <c r="C24" s="143"/>
      <c r="D24" s="69"/>
      <c r="E24" s="69"/>
      <c r="F24" s="69"/>
      <c r="G24" s="74"/>
      <c r="H24" s="74"/>
    </row>
    <row r="25" spans="1:8" ht="15" thickBot="1">
      <c r="A25" s="144" t="s">
        <v>70</v>
      </c>
      <c r="B25" s="145"/>
      <c r="C25" s="146"/>
      <c r="D25" s="69"/>
      <c r="E25" s="69"/>
      <c r="F25" s="69"/>
      <c r="G25" s="74"/>
      <c r="H25" s="74"/>
    </row>
    <row r="26" spans="1:8" ht="15.75" thickBot="1">
      <c r="A26" s="281" t="s">
        <v>71</v>
      </c>
      <c r="B26" s="282"/>
      <c r="C26" s="283">
        <f>ROUND((((1+C18+C19)*(1+C20)*(1+C21))/(1-(C22+C23))-1),4)</f>
        <v>0.23930000000000001</v>
      </c>
      <c r="D26" s="69"/>
      <c r="E26" s="69"/>
      <c r="F26" s="69"/>
      <c r="G26" s="74"/>
      <c r="H26" s="74"/>
    </row>
    <row r="27" spans="1:8">
      <c r="D27" s="69"/>
      <c r="E27" s="69"/>
      <c r="F27" s="69"/>
    </row>
    <row r="28" spans="1:8">
      <c r="D28" s="69"/>
      <c r="E28" s="69"/>
      <c r="F28" s="69"/>
    </row>
    <row r="29" spans="1:8">
      <c r="D29" s="69"/>
      <c r="E29" s="69"/>
      <c r="F29" s="69"/>
    </row>
    <row r="30" spans="1:8">
      <c r="D30" s="69"/>
      <c r="E30" s="69"/>
      <c r="F30" s="69"/>
    </row>
  </sheetData>
  <mergeCells count="6">
    <mergeCell ref="A1:C1"/>
    <mergeCell ref="A15:C15"/>
    <mergeCell ref="B22:B23"/>
    <mergeCell ref="B9:B10"/>
    <mergeCell ref="A16:C16"/>
    <mergeCell ref="A2:C2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sqref="A1:B1"/>
    </sheetView>
  </sheetViews>
  <sheetFormatPr defaultRowHeight="12.75"/>
  <cols>
    <col min="1" max="1" width="24.5703125" style="1" customWidth="1"/>
    <col min="2" max="2" width="20.85546875" style="1" customWidth="1"/>
    <col min="3" max="3" width="16.28515625" style="1" customWidth="1"/>
    <col min="4" max="16384" width="9.140625" style="1"/>
  </cols>
  <sheetData>
    <row r="1" spans="1:4" ht="15.75">
      <c r="A1" s="441" t="s">
        <v>283</v>
      </c>
      <c r="B1" s="441"/>
    </row>
    <row r="2" spans="1:4" s="56" customFormat="1" ht="15">
      <c r="A2" s="246" t="s">
        <v>165</v>
      </c>
      <c r="B2" s="251" t="s">
        <v>199</v>
      </c>
      <c r="C2" s="251" t="s">
        <v>308</v>
      </c>
    </row>
    <row r="3" spans="1:4" ht="14.25">
      <c r="A3" s="247">
        <v>1</v>
      </c>
      <c r="B3" s="252">
        <v>33.629999999999995</v>
      </c>
      <c r="C3" s="252">
        <f>100-B3</f>
        <v>66.37</v>
      </c>
    </row>
    <row r="4" spans="1:4" ht="14.25">
      <c r="A4" s="248">
        <v>2</v>
      </c>
      <c r="B4" s="253">
        <v>43.13</v>
      </c>
      <c r="C4" s="253">
        <f t="shared" ref="C4:C17" si="0">100-B4</f>
        <v>56.87</v>
      </c>
    </row>
    <row r="5" spans="1:4" ht="14.25">
      <c r="A5" s="248">
        <v>3</v>
      </c>
      <c r="B5" s="253">
        <v>48.68</v>
      </c>
      <c r="C5" s="253">
        <f t="shared" si="0"/>
        <v>51.32</v>
      </c>
    </row>
    <row r="6" spans="1:4" ht="14.25">
      <c r="A6" s="248">
        <v>4</v>
      </c>
      <c r="B6" s="253">
        <v>52.62</v>
      </c>
      <c r="C6" s="253">
        <f t="shared" si="0"/>
        <v>47.38</v>
      </c>
    </row>
    <row r="7" spans="1:4" ht="15">
      <c r="A7" s="249">
        <v>5</v>
      </c>
      <c r="B7" s="254">
        <v>55</v>
      </c>
      <c r="C7" s="254">
        <f t="shared" si="0"/>
        <v>45</v>
      </c>
      <c r="D7" s="244"/>
    </row>
    <row r="8" spans="1:4" ht="14.25">
      <c r="A8" s="248">
        <v>6</v>
      </c>
      <c r="B8" s="253">
        <v>58.18</v>
      </c>
      <c r="C8" s="253">
        <f t="shared" si="0"/>
        <v>41.82</v>
      </c>
      <c r="D8" s="160"/>
    </row>
    <row r="9" spans="1:4" ht="14.25">
      <c r="A9" s="248">
        <v>7</v>
      </c>
      <c r="B9" s="253">
        <v>60.29</v>
      </c>
      <c r="C9" s="253">
        <f t="shared" si="0"/>
        <v>39.71</v>
      </c>
    </row>
    <row r="10" spans="1:4" ht="14.25">
      <c r="A10" s="248">
        <v>8</v>
      </c>
      <c r="B10" s="253">
        <v>62.12</v>
      </c>
      <c r="C10" s="253">
        <f t="shared" si="0"/>
        <v>37.880000000000003</v>
      </c>
    </row>
    <row r="11" spans="1:4" ht="14.25">
      <c r="A11" s="248">
        <v>9</v>
      </c>
      <c r="B11" s="253">
        <v>63.73</v>
      </c>
      <c r="C11" s="253">
        <f t="shared" si="0"/>
        <v>36.270000000000003</v>
      </c>
    </row>
    <row r="12" spans="1:4" ht="15">
      <c r="A12" s="249">
        <v>10</v>
      </c>
      <c r="B12" s="254">
        <v>65</v>
      </c>
      <c r="C12" s="254">
        <f t="shared" si="0"/>
        <v>35</v>
      </c>
    </row>
    <row r="13" spans="1:4" ht="14.25">
      <c r="A13" s="248">
        <v>11</v>
      </c>
      <c r="B13" s="253">
        <v>66.47999999999999</v>
      </c>
      <c r="C13" s="253">
        <f t="shared" si="0"/>
        <v>33.52000000000001</v>
      </c>
    </row>
    <row r="14" spans="1:4" ht="14.25">
      <c r="A14" s="248">
        <v>12</v>
      </c>
      <c r="B14" s="253">
        <v>67.67</v>
      </c>
      <c r="C14" s="253">
        <f t="shared" si="0"/>
        <v>32.33</v>
      </c>
    </row>
    <row r="15" spans="1:4" ht="14.25">
      <c r="A15" s="248">
        <v>13</v>
      </c>
      <c r="B15" s="253">
        <v>68.77</v>
      </c>
      <c r="C15" s="253">
        <f t="shared" si="0"/>
        <v>31.230000000000004</v>
      </c>
    </row>
    <row r="16" spans="1:4" ht="14.25">
      <c r="A16" s="248">
        <v>14</v>
      </c>
      <c r="B16" s="253">
        <v>69.789999999999992</v>
      </c>
      <c r="C16" s="253">
        <f t="shared" si="0"/>
        <v>30.210000000000008</v>
      </c>
    </row>
    <row r="17" spans="1:3" ht="14.25">
      <c r="A17" s="250">
        <v>15</v>
      </c>
      <c r="B17" s="255">
        <v>70.73</v>
      </c>
      <c r="C17" s="255">
        <f t="shared" si="0"/>
        <v>29.269999999999996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56" t="s">
        <v>284</v>
      </c>
    </row>
    <row r="2" spans="1:1">
      <c r="A2" s="257"/>
    </row>
    <row r="3" spans="1:1">
      <c r="A3" s="257" t="s">
        <v>194</v>
      </c>
    </row>
    <row r="4" spans="1:1">
      <c r="A4" s="257"/>
    </row>
    <row r="5" spans="1:1">
      <c r="A5" s="257"/>
    </row>
    <row r="6" spans="1:1">
      <c r="A6" s="257"/>
    </row>
    <row r="7" spans="1:1">
      <c r="A7" s="257"/>
    </row>
    <row r="8" spans="1:1">
      <c r="A8" s="257"/>
    </row>
    <row r="9" spans="1:1">
      <c r="A9" s="257"/>
    </row>
    <row r="10" spans="1:1">
      <c r="A10" s="257"/>
    </row>
    <row r="11" spans="1:1">
      <c r="A11" s="257"/>
    </row>
    <row r="12" spans="1:1" ht="19.5">
      <c r="A12" s="258" t="s">
        <v>181</v>
      </c>
    </row>
    <row r="13" spans="1:1" ht="15">
      <c r="A13" s="258" t="s">
        <v>84</v>
      </c>
    </row>
    <row r="14" spans="1:1" ht="15">
      <c r="A14" s="258" t="s">
        <v>88</v>
      </c>
    </row>
    <row r="15" spans="1:1" ht="19.5">
      <c r="A15" s="258" t="s">
        <v>182</v>
      </c>
    </row>
    <row r="16" spans="1:1" ht="19.5">
      <c r="A16" s="258" t="s">
        <v>183</v>
      </c>
    </row>
    <row r="17" spans="1:1" ht="15">
      <c r="A17" s="259" t="s">
        <v>85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1. Coleta Automatizada</vt:lpstr>
      <vt:lpstr>Lavagem unif.</vt:lpstr>
      <vt:lpstr>Feriados</vt:lpstr>
      <vt:lpstr>2.Encargos Sociais</vt:lpstr>
      <vt:lpstr>3.CAGED</vt:lpstr>
      <vt:lpstr>4.BDI</vt:lpstr>
      <vt:lpstr>5. Depreciação</vt:lpstr>
      <vt:lpstr>6.Remuneração de capital</vt:lpstr>
      <vt:lpstr>AbaDeprec</vt:lpstr>
      <vt:lpstr>AbaRemun</vt:lpstr>
      <vt:lpstr>'2.Encargos Sociais'!Area_de_impressao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2021-07-08T23:20:48Z</cp:lastPrinted>
  <dcterms:created xsi:type="dcterms:W3CDTF">2000-12-13T10:02:50Z</dcterms:created>
  <dcterms:modified xsi:type="dcterms:W3CDTF">2021-07-28T14:11:31Z</dcterms:modified>
</cp:coreProperties>
</file>