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8905" yWindow="-105" windowWidth="19440" windowHeight="13740"/>
  </bookViews>
  <sheets>
    <sheet name="ORÇAMENTO" sheetId="1" r:id="rId1"/>
    <sheet name="Plan2" sheetId="2" state="hidden" r:id="rId2"/>
    <sheet name="Plan3" sheetId="3" state="hidden" r:id="rId3"/>
    <sheet name="Cálculo" sheetId="7" r:id="rId4"/>
  </sheets>
  <externalReferences>
    <externalReference r:id="rId5"/>
  </externalReferences>
  <definedNames>
    <definedName name="_xlnm.Print_Area" localSheetId="0">ORÇAMENTO!$A$1:$K$34</definedName>
    <definedName name="DD" hidden="1">IF(ISNUMBER(#REF!),OFFSET(INDIRECT(ORÇAMENTO.BancoRef),#REF!-1,3,1),#REF!)</definedName>
    <definedName name="ORÇAMENTO.BancoRef" hidden="1">ORÇAMENTO!#REF!</definedName>
    <definedName name="ORÇAMENTO.CustoUnitario" hidden="1">ROUND(ORÇAMENTO!$T1,15-13*ORÇAMENTO!$AE$13)</definedName>
    <definedName name="ORÇAMENTO.PrecoUnitarioLicitado" hidden="1">ORÇAMENTO!$AK1</definedName>
    <definedName name="REFERENCIA.Descricao" hidden="1">IF(ISNUMBER(ORÇAMENTO!$AE1),OFFSET(INDIRECT(ORÇAMENTO.BancoRef),ORÇAMENTO!$AE1-1,3,1),ORÇAMENTO!$AE1)</definedName>
    <definedName name="REFERENCIA.Unidade" hidden="1">IF(ISNUMBER(ORÇAMENTO!$AE1),OFFSET(INDIRECT(ORÇAMENTO.BancoRef),ORÇAMENTO!$AE1-1,4,1),"-")</definedName>
    <definedName name="SomaAgrup" hidden="1">SUMIF(OFFSET(ORÇAMENTO!$D1,1,0,ORÇAMENTO!$E1),"S",OFFSET(ORÇAMENTO!A1,1,0,ORÇAMENTO!$E1))</definedName>
    <definedName name="TIPOORCAMENTO" hidden="1">IF(VALUE([1]MENU!$O$3)=2,"Licitado","Proposto")</definedName>
    <definedName name="_xlnm.Print_Titles" localSheetId="0">ORÇAMENTO!$1:$3</definedName>
    <definedName name="VTOTAL1" hidden="1">ROUND(ORÇAMENTO!$S1*ORÇAMENTO!$V1,15-13*ORÇAMENTO!$AE$16)</definedName>
  </definedNames>
  <calcPr calcId="124519"/>
</workbook>
</file>

<file path=xl/calcChain.xml><?xml version="1.0" encoding="utf-8"?>
<calcChain xmlns="http://schemas.openxmlformats.org/spreadsheetml/2006/main">
  <c r="J34" i="1"/>
  <c r="I34"/>
  <c r="O41" i="7"/>
  <c r="P31"/>
  <c r="P32"/>
  <c r="P33"/>
  <c r="P34"/>
  <c r="P35"/>
  <c r="P36"/>
  <c r="P30"/>
  <c r="O40"/>
  <c r="O31"/>
  <c r="O32"/>
  <c r="O33"/>
  <c r="O34"/>
  <c r="O35"/>
  <c r="O36"/>
  <c r="O30"/>
  <c r="O15"/>
  <c r="O24" s="1"/>
  <c r="O16"/>
  <c r="O17"/>
  <c r="O18"/>
  <c r="O19"/>
  <c r="O20"/>
  <c r="O21"/>
  <c r="O22"/>
  <c r="O14"/>
  <c r="H18"/>
  <c r="G18"/>
  <c r="F18"/>
  <c r="H17"/>
  <c r="G17"/>
  <c r="F17"/>
  <c r="G15"/>
  <c r="F15"/>
  <c r="H14"/>
  <c r="G14"/>
  <c r="F14"/>
  <c r="H16"/>
  <c r="G16"/>
  <c r="F16"/>
  <c r="E20"/>
  <c r="E15"/>
  <c r="E16"/>
  <c r="E17"/>
  <c r="E18"/>
  <c r="E14"/>
  <c r="D6"/>
  <c r="C6"/>
  <c r="E5"/>
  <c r="F5" s="1"/>
  <c r="F6" s="1"/>
  <c r="F8" i="1"/>
  <c r="I8" s="1"/>
  <c r="H8"/>
  <c r="G8" s="1"/>
  <c r="J8" s="1"/>
  <c r="H9"/>
  <c r="F16" s="1"/>
  <c r="I16" s="1"/>
  <c r="H10"/>
  <c r="F10" s="1"/>
  <c r="H12"/>
  <c r="F12" s="1"/>
  <c r="I12" s="1"/>
  <c r="H13"/>
  <c r="F13" s="1"/>
  <c r="I13" s="1"/>
  <c r="H15"/>
  <c r="F15" s="1"/>
  <c r="I15" s="1"/>
  <c r="H16"/>
  <c r="H17"/>
  <c r="F17" s="1"/>
  <c r="H18"/>
  <c r="H19"/>
  <c r="H20"/>
  <c r="H21"/>
  <c r="F21" s="1"/>
  <c r="I21" s="1"/>
  <c r="H22"/>
  <c r="H23"/>
  <c r="H24"/>
  <c r="F24" s="1"/>
  <c r="I24" s="1"/>
  <c r="H26"/>
  <c r="F26" s="1"/>
  <c r="I26" s="1"/>
  <c r="H27"/>
  <c r="F27" s="1"/>
  <c r="I27" s="1"/>
  <c r="H29"/>
  <c r="F29" s="1"/>
  <c r="I29" s="1"/>
  <c r="H30"/>
  <c r="H31"/>
  <c r="F31" s="1"/>
  <c r="H32"/>
  <c r="F32" s="1"/>
  <c r="H33"/>
  <c r="F33" s="1"/>
  <c r="I33" s="1"/>
  <c r="H6"/>
  <c r="F6" s="1"/>
  <c r="K5"/>
  <c r="K28"/>
  <c r="K25"/>
  <c r="K14"/>
  <c r="K11"/>
  <c r="K7"/>
  <c r="I32" l="1"/>
  <c r="G32"/>
  <c r="J32" s="1"/>
  <c r="G27"/>
  <c r="J27" s="1"/>
  <c r="G33"/>
  <c r="J33" s="1"/>
  <c r="G13"/>
  <c r="J13" s="1"/>
  <c r="F19"/>
  <c r="I19" s="1"/>
  <c r="F20"/>
  <c r="I20" s="1"/>
  <c r="F22"/>
  <c r="I22" s="1"/>
  <c r="F23"/>
  <c r="I23" s="1"/>
  <c r="G24"/>
  <c r="J24" s="1"/>
  <c r="F30"/>
  <c r="I30" s="1"/>
  <c r="F18"/>
  <c r="I18" s="1"/>
  <c r="G12"/>
  <c r="J12" s="1"/>
  <c r="K34"/>
  <c r="K4" s="1"/>
  <c r="G21"/>
  <c r="J21" s="1"/>
  <c r="G26"/>
  <c r="J26" s="1"/>
  <c r="P20" i="7"/>
  <c r="P16"/>
  <c r="P21"/>
  <c r="P22"/>
  <c r="P14"/>
  <c r="P18"/>
  <c r="P15"/>
  <c r="P19"/>
  <c r="P17"/>
  <c r="C21"/>
  <c r="E6"/>
  <c r="C7" s="1"/>
  <c r="G10" i="1"/>
  <c r="J10" s="1"/>
  <c r="I10"/>
  <c r="G16"/>
  <c r="J16" s="1"/>
  <c r="I6"/>
  <c r="G6"/>
  <c r="J6" s="1"/>
  <c r="G31"/>
  <c r="J31" s="1"/>
  <c r="I31"/>
  <c r="I17"/>
  <c r="G17"/>
  <c r="J17" s="1"/>
  <c r="G15"/>
  <c r="J15" s="1"/>
  <c r="G29"/>
  <c r="J29" s="1"/>
  <c r="F9"/>
  <c r="I9" s="1"/>
  <c r="G22" l="1"/>
  <c r="J22" s="1"/>
  <c r="G19"/>
  <c r="J19" s="1"/>
  <c r="G9"/>
  <c r="J9" s="1"/>
  <c r="G18"/>
  <c r="J18" s="1"/>
  <c r="G30"/>
  <c r="J30" s="1"/>
  <c r="G23"/>
  <c r="J23" s="1"/>
  <c r="G20"/>
  <c r="J20" s="1"/>
  <c r="O25" i="7"/>
  <c r="P24"/>
  <c r="F8"/>
  <c r="D8"/>
  <c r="C8"/>
  <c r="E8"/>
  <c r="H8" l="1"/>
  <c r="D9"/>
  <c r="P40" l="1"/>
</calcChain>
</file>

<file path=xl/sharedStrings.xml><?xml version="1.0" encoding="utf-8"?>
<sst xmlns="http://schemas.openxmlformats.org/spreadsheetml/2006/main" count="191" uniqueCount="131">
  <si>
    <t>SERVIÇOS PRELIMINARES</t>
  </si>
  <si>
    <t>4813</t>
  </si>
  <si>
    <t>PLACA DE OBRA EM CHAPA DE ACO GALVANIZADO</t>
  </si>
  <si>
    <t>M2</t>
  </si>
  <si>
    <t>TERRAPLENAGEM</t>
  </si>
  <si>
    <t>100577</t>
  </si>
  <si>
    <t>PAVIMENTAÇÃO</t>
  </si>
  <si>
    <t>92405</t>
  </si>
  <si>
    <t>EXECUÇÃO DE VIA EM PISO INTERTRAVADO, COM BLOCO 16 FACES DE 22 X 11 CM, ESPESSURA 8 CM</t>
  </si>
  <si>
    <t>94273</t>
  </si>
  <si>
    <t xml:space="preserve">ASSENTAMENTO DE GUIA (MEIO-FIO) EM TRECHO RETO, CONFECCIONADA EM CONCRETO PRÉ-FABRICADO, DIMENSÕES 100X15X13X30 CM (COMPRIMENTO X BASE INFERIOR X BASE SUPERIOR X ALTURA), PARA VIAS URBANAS (USO VIÁRIO). </t>
  </si>
  <si>
    <t>M</t>
  </si>
  <si>
    <t>DRENAGEM</t>
  </si>
  <si>
    <t>90082</t>
  </si>
  <si>
    <t>ESCAVAÇÃO MECÂNICA DE VALA DE MATERIAL DE 1A. CATEGORIA ATÉ 1,5M.</t>
  </si>
  <si>
    <t>M3</t>
  </si>
  <si>
    <t>013</t>
  </si>
  <si>
    <t>93380</t>
  </si>
  <si>
    <t>REATERRO MECANIZADO DE VALA</t>
  </si>
  <si>
    <t>001</t>
  </si>
  <si>
    <t xml:space="preserve">COMPACTAÇÃO MECÂNICA DE SOLO COM SOQUETE VIBRATÓRIO MOTOR POTÊNCIA 3CV </t>
  </si>
  <si>
    <t>002</t>
  </si>
  <si>
    <t>003</t>
  </si>
  <si>
    <t>005</t>
  </si>
  <si>
    <t>TUBO DE CONCRETO ARMADO, PA-1, PB, PARA REDES COLETORAS DE ÁGUAS PLUVIAIS, DIÂMETRO DE 600 MM - FORNECIMENTO E ASSENTAMENTO</t>
  </si>
  <si>
    <t>3777</t>
  </si>
  <si>
    <t>FORNECIMENTO/INSTALACAO LONA PLASTICA PRETA, PARA IMPERMEABILIZACAO, ESPESSURA 150 MICRAS.</t>
  </si>
  <si>
    <t>006</t>
  </si>
  <si>
    <t xml:space="preserve">CAIXA ENTERRADA HIDRÁULICA RETANGULAR, EM ALVENARIA COM BLOCOS DE CONCRETO, DIMENSÕES INTERNAS: 0,8X0,8X1,2 M PARA REDE DE DRENAGEM. </t>
  </si>
  <si>
    <t>UN</t>
  </si>
  <si>
    <t>007</t>
  </si>
  <si>
    <t xml:space="preserve">CAIXA ENTERRADA HIDRÁULICA RETANGULAR, EM ALVENARIA COM BLOCOS DE CONCRETO, DIMENSÕES INTERNAS: 1,20X1,20X1,50 M PARA REDE DE DRENAGEM. </t>
  </si>
  <si>
    <t>SINALIZAÇÃO</t>
  </si>
  <si>
    <t>011</t>
  </si>
  <si>
    <t>PLACA DE REGULAMENTAÇÃO R-1 (PARE) COM SUPORTE METÁLICO GALVANIZADO</t>
  </si>
  <si>
    <t>012</t>
  </si>
  <si>
    <t>PLACA ESMALTADA PARA IDENTIFICAÇÃO NR DE RUA DIMENSÕES 45X25CM, COM SUPORTE METÁLICO GALVANIZADO</t>
  </si>
  <si>
    <t>CALÇADAS</t>
  </si>
  <si>
    <t>94316</t>
  </si>
  <si>
    <t>ATERRO MECANIZADO DE VALAS, APILOADO, CONSIDERANDO ACRÉSCIMENTO DE 25% AO VOLUME ADQUIRIDO</t>
  </si>
  <si>
    <t>100324</t>
  </si>
  <si>
    <t>LASTRO COM MATERIAL GRANULAR (PEDRA BRITADA N.1 E PEDRA BRITADA N.2), ESPESSURA DE 3 CM</t>
  </si>
  <si>
    <t>94993</t>
  </si>
  <si>
    <t>EXECUÇÃO DE PASSEIO (CALÇADA) OU PISO DE CONCRETO COM CONCRETO MOLDADO IN LOCO, USINADO, ACABAMENTO CONVENCIONAL, ESPESSURA 6 CM, ARMADO.</t>
  </si>
  <si>
    <t>008</t>
  </si>
  <si>
    <t>RAMPAS DE ACESSIBILIDADE EM CONCRETO FCK=20MPA</t>
  </si>
  <si>
    <t>TRANSPORTE DE ENTULHO COM CAMINHAO BASCULANTE 6 M3, RODOVIA PAVIMENTADA, DMT 5 KM</t>
  </si>
  <si>
    <t>TUBO DE CONCRETO ARMADO, PA-1, PB, PARA REDES COLETORAS DE ÁGUAS PLUVIAIS, DIÂMETRO DE 400 MM - FORNECIMENTO E ASSENTAMENTO</t>
  </si>
  <si>
    <t>MAT</t>
  </si>
  <si>
    <t>MO</t>
  </si>
  <si>
    <t>SINAPI</t>
  </si>
  <si>
    <t>7781</t>
  </si>
  <si>
    <t>88316</t>
  </si>
  <si>
    <t>88629</t>
  </si>
  <si>
    <t>5678</t>
  </si>
  <si>
    <t>5679</t>
  </si>
  <si>
    <t>88309</t>
  </si>
  <si>
    <t>650</t>
  </si>
  <si>
    <t>87316</t>
  </si>
  <si>
    <t>88628</t>
  </si>
  <si>
    <t>94970</t>
  </si>
  <si>
    <t>97735</t>
  </si>
  <si>
    <t>100576</t>
  </si>
  <si>
    <t>90283</t>
  </si>
  <si>
    <t>36178</t>
  </si>
  <si>
    <t>97086</t>
  </si>
  <si>
    <t>1</t>
  </si>
  <si>
    <t>1.1</t>
  </si>
  <si>
    <t>6.2</t>
  </si>
  <si>
    <t>2</t>
  </si>
  <si>
    <t>2.1</t>
  </si>
  <si>
    <t>3.1</t>
  </si>
  <si>
    <t>3.2</t>
  </si>
  <si>
    <t>4.1</t>
  </si>
  <si>
    <t>6.3</t>
  </si>
  <si>
    <t>4.2</t>
  </si>
  <si>
    <t>4.3</t>
  </si>
  <si>
    <t>4.4</t>
  </si>
  <si>
    <t>4.5</t>
  </si>
  <si>
    <t>4.6</t>
  </si>
  <si>
    <t>4.7</t>
  </si>
  <si>
    <t>4.8</t>
  </si>
  <si>
    <t>5.1</t>
  </si>
  <si>
    <t>6.5</t>
  </si>
  <si>
    <t>5.2</t>
  </si>
  <si>
    <t>6.1</t>
  </si>
  <si>
    <t>4.9</t>
  </si>
  <si>
    <t>6.4</t>
  </si>
  <si>
    <t>TUBO DE CONCRETO SIMPLES, PS-1, MF, PARA REDES COLETORAS DE ÁGUAS PLUVIAIS, DIÂMETRO DE 400 MM - FORNECIMENTO E ASSENTAMENTO</t>
  </si>
  <si>
    <t>PLANILHA ORÇAMENTÁRIA -  PAVIMENTAÇÃO RUA SÉRGIO BASTOS PEREIRA E VIELA 250     BDI 20,46% - SEM DESONERAÇÃO</t>
  </si>
  <si>
    <t>96001</t>
  </si>
  <si>
    <t>FRESAGEM DE PAVIMENTO ASFÁLTICO (PROFUNDIDADE ATÉ 5,0 CM) - EXCLUSIVE TRANSPORTE. AF_11/2019</t>
  </si>
  <si>
    <t>REGULARIZAÇÃO E COMPACTAÇÃO DE SUBLEITO DE SOLO PREDOMINANTEMENTE ARENOSO. AF_11/2019</t>
  </si>
  <si>
    <t>TOTAL UNIT C/ BDI</t>
  </si>
  <si>
    <t>QUANT.</t>
  </si>
  <si>
    <t>2.2</t>
  </si>
  <si>
    <t>2.3</t>
  </si>
  <si>
    <t>TOTAL</t>
  </si>
  <si>
    <t>TOTAL M.O</t>
  </si>
  <si>
    <t>TOTAL MAT.</t>
  </si>
  <si>
    <t>MAT.  UNIT C/ BDI</t>
  </si>
  <si>
    <t>M.O  UNIT C/ BDI</t>
  </si>
  <si>
    <t>PREÇO UNITÁRIO TOTAL C/ BDI</t>
  </si>
  <si>
    <t>coef</t>
  </si>
  <si>
    <t>valor</t>
  </si>
  <si>
    <t>total</t>
  </si>
  <si>
    <t>mat</t>
  </si>
  <si>
    <t>m.o</t>
  </si>
  <si>
    <t>%</t>
  </si>
  <si>
    <t>total mat</t>
  </si>
  <si>
    <t>COMPOSIÇÃO 01</t>
  </si>
  <si>
    <t xml:space="preserve">total </t>
  </si>
  <si>
    <t>coef.</t>
  </si>
  <si>
    <t>tubo</t>
  </si>
  <si>
    <t>servente</t>
  </si>
  <si>
    <t>argamassa</t>
  </si>
  <si>
    <t>retro</t>
  </si>
  <si>
    <t>total R$</t>
  </si>
  <si>
    <t>valor unit. R$</t>
  </si>
  <si>
    <t>mat R$</t>
  </si>
  <si>
    <t>mo R$</t>
  </si>
  <si>
    <t>mat%</t>
  </si>
  <si>
    <t>TOTAL MAT %</t>
  </si>
  <si>
    <t>COMPOSIÇÃO 02</t>
  </si>
  <si>
    <t>COMPOSIÇÃO 03</t>
  </si>
  <si>
    <t>COMPOSIÇÃO 06</t>
  </si>
  <si>
    <t>MAT/MO</t>
  </si>
  <si>
    <t>COMPOSIÇÃO 008</t>
  </si>
  <si>
    <t>ITEM</t>
  </si>
  <si>
    <t>DESCRIÇÃO</t>
  </si>
  <si>
    <t>META 1 - RUA SÉRGIO PEREIRA BASTOS E VIELA 250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</si>
</sst>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_(* #,##0.00_);_(* \(#,##0.00\);_(* \-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26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3" fontId="0" fillId="0" borderId="0" xfId="0" applyNumberFormat="1"/>
    <xf numFmtId="43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wrapText="1"/>
    </xf>
    <xf numFmtId="43" fontId="0" fillId="0" borderId="0" xfId="1" applyFont="1"/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0" borderId="1" xfId="1" applyNumberFormat="1" applyFont="1" applyFill="1" applyBorder="1" applyAlignment="1" applyProtection="1">
      <alignment vertical="center" shrinkToFit="1"/>
    </xf>
    <xf numFmtId="164" fontId="0" fillId="0" borderId="1" xfId="1" applyNumberFormat="1" applyFont="1" applyFill="1" applyBorder="1" applyAlignment="1" applyProtection="1">
      <alignment horizontal="center" vertical="center" shrinkToFit="1"/>
    </xf>
    <xf numFmtId="0" fontId="0" fillId="2" borderId="1" xfId="0" applyNumberFormat="1" applyFill="1" applyBorder="1" applyAlignment="1" applyProtection="1">
      <alignment horizontal="left" vertical="center" wrapText="1"/>
      <protection locked="0"/>
    </xf>
    <xf numFmtId="2" fontId="0" fillId="0" borderId="0" xfId="0" applyNumberFormat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3" fontId="3" fillId="5" borderId="9" xfId="0" applyNumberFormat="1" applyFont="1" applyFill="1" applyBorder="1" applyAlignment="1" applyProtection="1">
      <alignment vertical="center" wrapText="1"/>
      <protection locked="0"/>
    </xf>
    <xf numFmtId="164" fontId="2" fillId="0" borderId="10" xfId="1" applyNumberFormat="1" applyFont="1" applyFill="1" applyBorder="1" applyAlignment="1" applyProtection="1">
      <alignment horizontal="center" vertical="center" shrinkToFit="1"/>
    </xf>
    <xf numFmtId="164" fontId="0" fillId="0" borderId="0" xfId="0" applyNumberFormat="1"/>
    <xf numFmtId="43" fontId="9" fillId="4" borderId="1" xfId="0" applyNumberFormat="1" applyFont="1" applyFill="1" applyBorder="1" applyAlignment="1">
      <alignment horizontal="center" vertical="center"/>
    </xf>
    <xf numFmtId="43" fontId="10" fillId="4" borderId="1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3" borderId="8" xfId="0" applyNumberFormat="1" applyFont="1" applyFill="1" applyBorder="1" applyAlignment="1" applyProtection="1">
      <alignment horizontal="left" vertical="center" wrapText="1"/>
      <protection locked="0"/>
    </xf>
    <xf numFmtId="0" fontId="2" fillId="3" borderId="9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</cellXfs>
  <cellStyles count="2">
    <cellStyle name="Normal" xfId="0" builtinId="0"/>
    <cellStyle name="Separador de milhares" xfId="1" builtinId="3"/>
  </cellStyles>
  <dxfs count="126"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 val="0"/>
        <condense val="0"/>
        <extend val="0"/>
        <color indexed="22"/>
      </font>
      <fill>
        <patternFill patternType="solid">
          <fgColor indexed="44"/>
          <bgColor indexed="22"/>
        </patternFill>
      </fill>
    </dxf>
    <dxf>
      <font>
        <b val="0"/>
        <condense val="0"/>
        <extend val="0"/>
        <color indexed="55"/>
      </font>
      <fill>
        <patternFill patternType="solid">
          <fgColor indexed="46"/>
          <bgColor indexed="55"/>
        </patternFill>
      </fill>
      <border>
        <top style="thin">
          <color indexed="64"/>
        </top>
      </border>
    </dxf>
    <dxf>
      <font>
        <b/>
        <i val="0"/>
        <condense val="0"/>
        <extend val="0"/>
      </font>
      <fill>
        <patternFill patternType="solid">
          <fgColor indexed="44"/>
          <bgColor indexed="22"/>
        </patternFill>
      </fill>
    </dxf>
    <dxf>
      <font>
        <b/>
        <i val="0"/>
        <condense val="0"/>
        <extend val="0"/>
      </font>
      <fill>
        <patternFill patternType="solid">
          <fgColor indexed="46"/>
          <bgColor indexed="55"/>
        </patternFill>
      </fill>
      <border>
        <left/>
        <right/>
        <top style="thin">
          <color indexed="8"/>
        </top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vea\Dropbox\ATAQUARI\PAVIMENTA&#199;&#213;ES\PROJETOS%20PAVI\Bloco_BECO%20285\Or&#231;amento\OR&#199;AMENTO%20BECO%2028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>
        <row r="3">
          <cell r="O3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6"/>
  <sheetViews>
    <sheetView tabSelected="1" zoomScale="85" zoomScaleNormal="85" workbookViewId="0">
      <pane ySplit="3" topLeftCell="A4" activePane="bottomLeft" state="frozen"/>
      <selection pane="bottomLeft" activeCell="A4" sqref="A4:D4"/>
    </sheetView>
  </sheetViews>
  <sheetFormatPr defaultRowHeight="15"/>
  <cols>
    <col min="1" max="1" width="5.42578125" style="5" bestFit="1" customWidth="1"/>
    <col min="2" max="2" width="7.140625" style="5" bestFit="1" customWidth="1"/>
    <col min="3" max="3" width="71.28515625" style="6" customWidth="1"/>
    <col min="4" max="4" width="5.7109375" customWidth="1"/>
    <col min="5" max="5" width="9.5703125" bestFit="1" customWidth="1"/>
    <col min="6" max="11" width="16.42578125" style="1" customWidth="1"/>
    <col min="12" max="12" width="11.5703125" bestFit="1" customWidth="1"/>
    <col min="13" max="13" width="9.5703125" bestFit="1" customWidth="1"/>
  </cols>
  <sheetData>
    <row r="1" spans="1:14" ht="24.75" customHeight="1">
      <c r="A1" s="32" t="s">
        <v>89</v>
      </c>
      <c r="B1" s="33"/>
      <c r="C1" s="33"/>
      <c r="D1" s="33"/>
      <c r="E1" s="33"/>
      <c r="F1" s="33"/>
      <c r="G1" s="33"/>
      <c r="H1" s="33"/>
      <c r="I1" s="33"/>
      <c r="J1" s="33"/>
      <c r="K1" s="34"/>
    </row>
    <row r="2" spans="1:14" ht="21" customHeight="1">
      <c r="A2" s="24" t="s">
        <v>128</v>
      </c>
      <c r="B2" s="24" t="s">
        <v>50</v>
      </c>
      <c r="C2" s="26" t="s">
        <v>129</v>
      </c>
      <c r="D2" s="27"/>
      <c r="E2" s="37" t="s">
        <v>94</v>
      </c>
      <c r="F2" s="24" t="s">
        <v>100</v>
      </c>
      <c r="G2" s="24" t="s">
        <v>101</v>
      </c>
      <c r="H2" s="35" t="s">
        <v>102</v>
      </c>
      <c r="I2" s="35" t="s">
        <v>99</v>
      </c>
      <c r="J2" s="35" t="s">
        <v>98</v>
      </c>
      <c r="K2" s="35" t="s">
        <v>93</v>
      </c>
    </row>
    <row r="3" spans="1:14" ht="21" customHeight="1">
      <c r="A3" s="25"/>
      <c r="B3" s="25"/>
      <c r="C3" s="28"/>
      <c r="D3" s="29"/>
      <c r="E3" s="38"/>
      <c r="F3" s="25"/>
      <c r="G3" s="25"/>
      <c r="H3" s="36"/>
      <c r="I3" s="36"/>
      <c r="J3" s="36"/>
      <c r="K3" s="36"/>
      <c r="L3" s="7"/>
    </row>
    <row r="4" spans="1:14" ht="18.75" customHeight="1">
      <c r="A4" s="39" t="s">
        <v>130</v>
      </c>
      <c r="B4" s="40"/>
      <c r="C4" s="40"/>
      <c r="D4" s="40"/>
      <c r="E4" s="41"/>
      <c r="F4" s="41"/>
      <c r="G4" s="41"/>
      <c r="H4" s="41"/>
      <c r="I4" s="41"/>
      <c r="J4" s="41"/>
      <c r="K4" s="19">
        <f>K34</f>
        <v>430887.86000000004</v>
      </c>
      <c r="L4" s="3"/>
    </row>
    <row r="5" spans="1:14" s="2" customFormat="1" ht="15" customHeight="1">
      <c r="A5" s="9" t="s">
        <v>66</v>
      </c>
      <c r="B5" s="30" t="s">
        <v>0</v>
      </c>
      <c r="C5" s="31"/>
      <c r="D5" s="31"/>
      <c r="E5" s="31"/>
      <c r="F5" s="31"/>
      <c r="G5" s="31"/>
      <c r="H5" s="31"/>
      <c r="I5" s="31"/>
      <c r="J5" s="31"/>
      <c r="K5" s="20">
        <f>SUM(K6)</f>
        <v>1445.52</v>
      </c>
      <c r="L5" s="4"/>
    </row>
    <row r="6" spans="1:14">
      <c r="A6" s="8" t="s">
        <v>67</v>
      </c>
      <c r="B6" s="8" t="s">
        <v>1</v>
      </c>
      <c r="C6" s="10" t="s">
        <v>2</v>
      </c>
      <c r="D6" s="11" t="s">
        <v>3</v>
      </c>
      <c r="E6" s="12">
        <v>6</v>
      </c>
      <c r="F6" s="16">
        <f>H6*0.7</f>
        <v>168.64399999999998</v>
      </c>
      <c r="G6" s="16">
        <f>H6-F6</f>
        <v>72.27600000000001</v>
      </c>
      <c r="H6" s="15">
        <f>K6/E6</f>
        <v>240.92</v>
      </c>
      <c r="I6" s="13">
        <f>F6*E6</f>
        <v>1011.8639999999998</v>
      </c>
      <c r="J6" s="13">
        <f>G6*E6</f>
        <v>433.65600000000006</v>
      </c>
      <c r="K6" s="13">
        <v>1445.52</v>
      </c>
      <c r="L6" s="4"/>
    </row>
    <row r="7" spans="1:14" s="2" customFormat="1" ht="15" customHeight="1">
      <c r="A7" s="9" t="s">
        <v>69</v>
      </c>
      <c r="B7" s="30" t="s">
        <v>4</v>
      </c>
      <c r="C7" s="31"/>
      <c r="D7" s="31"/>
      <c r="E7" s="31"/>
      <c r="F7" s="31"/>
      <c r="G7" s="31"/>
      <c r="H7" s="31"/>
      <c r="I7" s="31"/>
      <c r="J7" s="31"/>
      <c r="K7" s="20">
        <f>SUM(K8:K10)</f>
        <v>5383.54</v>
      </c>
      <c r="L7" s="4"/>
    </row>
    <row r="8" spans="1:14" s="2" customFormat="1" ht="30">
      <c r="A8" s="8" t="s">
        <v>70</v>
      </c>
      <c r="B8" s="8" t="s">
        <v>90</v>
      </c>
      <c r="C8" s="14" t="s">
        <v>91</v>
      </c>
      <c r="D8" s="11" t="s">
        <v>3</v>
      </c>
      <c r="E8" s="12">
        <v>460</v>
      </c>
      <c r="F8" s="16">
        <f>H8*0.835117774</f>
        <v>4.9021413333799995</v>
      </c>
      <c r="G8" s="16">
        <f>H8-F8</f>
        <v>0.96785866661999975</v>
      </c>
      <c r="H8" s="16">
        <f t="shared" ref="H8:H33" si="0">K8/E8</f>
        <v>5.8699999999999992</v>
      </c>
      <c r="I8" s="13">
        <f>F8*E8</f>
        <v>2254.9850133547998</v>
      </c>
      <c r="J8" s="13">
        <f>G8*E8</f>
        <v>445.21498664519987</v>
      </c>
      <c r="K8" s="13">
        <v>2700.2</v>
      </c>
      <c r="L8" s="4"/>
      <c r="M8" s="4"/>
    </row>
    <row r="9" spans="1:14" s="2" customFormat="1" ht="30">
      <c r="A9" s="8" t="s">
        <v>95</v>
      </c>
      <c r="B9" s="8" t="s">
        <v>16</v>
      </c>
      <c r="C9" s="14" t="s">
        <v>46</v>
      </c>
      <c r="D9" s="11" t="s">
        <v>3</v>
      </c>
      <c r="E9" s="12">
        <v>23</v>
      </c>
      <c r="F9" s="16">
        <f>H9*0.886178862</f>
        <v>7.1514634163399995</v>
      </c>
      <c r="G9" s="16">
        <f>H9-F9</f>
        <v>0.91853658366000079</v>
      </c>
      <c r="H9" s="16">
        <f t="shared" si="0"/>
        <v>8.07</v>
      </c>
      <c r="I9" s="13">
        <f>F9*E9</f>
        <v>164.48365857581999</v>
      </c>
      <c r="J9" s="13">
        <f>G9*E9</f>
        <v>21.126341424180019</v>
      </c>
      <c r="K9" s="13">
        <v>185.61</v>
      </c>
      <c r="L9" s="4"/>
    </row>
    <row r="10" spans="1:14" ht="30">
      <c r="A10" s="8" t="s">
        <v>96</v>
      </c>
      <c r="B10" s="8" t="s">
        <v>5</v>
      </c>
      <c r="C10" s="14" t="s">
        <v>92</v>
      </c>
      <c r="D10" s="11" t="s">
        <v>3</v>
      </c>
      <c r="E10" s="12">
        <v>2775.25</v>
      </c>
      <c r="F10" s="16">
        <f>H10*0.683333334</f>
        <v>0.61500123172032062</v>
      </c>
      <c r="G10" s="16">
        <f>H10-F10</f>
        <v>0.28500056991917133</v>
      </c>
      <c r="H10" s="16">
        <f t="shared" si="0"/>
        <v>0.90000180163949195</v>
      </c>
      <c r="I10" s="13">
        <f>F10*E10</f>
        <v>1706.7821683318198</v>
      </c>
      <c r="J10" s="13">
        <f>G10*E10</f>
        <v>790.94783166818024</v>
      </c>
      <c r="K10" s="13">
        <v>2497.73</v>
      </c>
      <c r="L10" s="4"/>
    </row>
    <row r="11" spans="1:14" s="2" customFormat="1" ht="15" customHeight="1">
      <c r="A11" s="9">
        <v>3</v>
      </c>
      <c r="B11" s="30" t="s">
        <v>6</v>
      </c>
      <c r="C11" s="31"/>
      <c r="D11" s="31"/>
      <c r="E11" s="31"/>
      <c r="F11" s="31"/>
      <c r="G11" s="31"/>
      <c r="H11" s="31"/>
      <c r="I11" s="31"/>
      <c r="J11" s="31"/>
      <c r="K11" s="20">
        <f>SUM(K12:K13)</f>
        <v>214179.1</v>
      </c>
      <c r="L11" s="4"/>
    </row>
    <row r="12" spans="1:14" ht="30">
      <c r="A12" s="8" t="s">
        <v>71</v>
      </c>
      <c r="B12" s="8" t="s">
        <v>7</v>
      </c>
      <c r="C12" s="10" t="s">
        <v>8</v>
      </c>
      <c r="D12" s="11" t="s">
        <v>3</v>
      </c>
      <c r="E12" s="12">
        <v>2715.25</v>
      </c>
      <c r="F12" s="15">
        <f>H12*0.842105264</f>
        <v>55.22526476381563</v>
      </c>
      <c r="G12" s="16">
        <f>H12-F12</f>
        <v>10.354737077635434</v>
      </c>
      <c r="H12" s="16">
        <f t="shared" si="0"/>
        <v>65.580001841451065</v>
      </c>
      <c r="I12" s="13">
        <f t="shared" ref="I12:I13" si="1">F12*E12</f>
        <v>149950.40014995038</v>
      </c>
      <c r="J12" s="13">
        <f t="shared" ref="J12:J13" si="2">G12*E12</f>
        <v>28115.699850049612</v>
      </c>
      <c r="K12" s="13">
        <v>178066.1</v>
      </c>
      <c r="L12" s="4"/>
    </row>
    <row r="13" spans="1:14" ht="51" customHeight="1">
      <c r="A13" s="8" t="s">
        <v>72</v>
      </c>
      <c r="B13" s="8" t="s">
        <v>9</v>
      </c>
      <c r="C13" s="10" t="s">
        <v>10</v>
      </c>
      <c r="D13" s="11" t="s">
        <v>11</v>
      </c>
      <c r="E13" s="12">
        <v>770</v>
      </c>
      <c r="F13" s="16">
        <f>H13*0.697860274</f>
        <v>32.729646850599998</v>
      </c>
      <c r="G13" s="16">
        <f>H13-F13</f>
        <v>14.1703531494</v>
      </c>
      <c r="H13" s="16">
        <f t="shared" si="0"/>
        <v>46.9</v>
      </c>
      <c r="I13" s="13">
        <f t="shared" si="1"/>
        <v>25201.828074961999</v>
      </c>
      <c r="J13" s="13">
        <f t="shared" si="2"/>
        <v>10911.171925038001</v>
      </c>
      <c r="K13" s="13">
        <v>36113</v>
      </c>
      <c r="L13" s="4"/>
    </row>
    <row r="14" spans="1:14" s="2" customFormat="1" ht="15" customHeight="1">
      <c r="A14" s="9">
        <v>4</v>
      </c>
      <c r="B14" s="30" t="s">
        <v>12</v>
      </c>
      <c r="C14" s="31"/>
      <c r="D14" s="31"/>
      <c r="E14" s="31"/>
      <c r="F14" s="31"/>
      <c r="G14" s="31"/>
      <c r="H14" s="31"/>
      <c r="I14" s="31"/>
      <c r="J14" s="31"/>
      <c r="K14" s="20">
        <f>SUM(K15:K24)</f>
        <v>78877.570000000007</v>
      </c>
      <c r="L14" s="4"/>
    </row>
    <row r="15" spans="1:14">
      <c r="A15" s="8" t="s">
        <v>73</v>
      </c>
      <c r="B15" s="8" t="s">
        <v>13</v>
      </c>
      <c r="C15" s="10" t="s">
        <v>14</v>
      </c>
      <c r="D15" s="11" t="s">
        <v>15</v>
      </c>
      <c r="E15" s="12">
        <v>527.63</v>
      </c>
      <c r="F15" s="16">
        <f>H15*0.671542554</f>
        <v>6.1983315369313345</v>
      </c>
      <c r="G15" s="16">
        <f>H15-F15</f>
        <v>3.0316591762578327</v>
      </c>
      <c r="H15" s="16">
        <f t="shared" si="0"/>
        <v>9.2299907131891672</v>
      </c>
      <c r="I15" s="13">
        <f>F15*E15</f>
        <v>3270.4256688310802</v>
      </c>
      <c r="J15" s="13">
        <f>G15*E15</f>
        <v>1599.5943311689202</v>
      </c>
      <c r="K15" s="13">
        <v>4870.0200000000004</v>
      </c>
      <c r="L15" s="4"/>
    </row>
    <row r="16" spans="1:14" ht="30">
      <c r="A16" s="8" t="s">
        <v>75</v>
      </c>
      <c r="B16" s="8" t="s">
        <v>16</v>
      </c>
      <c r="C16" s="10" t="s">
        <v>46</v>
      </c>
      <c r="D16" s="11" t="s">
        <v>15</v>
      </c>
      <c r="E16" s="12">
        <v>148.59</v>
      </c>
      <c r="F16" s="16">
        <f>H9*0.886178862</f>
        <v>7.1514634163399995</v>
      </c>
      <c r="G16" s="16">
        <f>H16-F16</f>
        <v>0.9185278347536121</v>
      </c>
      <c r="H16" s="16">
        <f t="shared" si="0"/>
        <v>8.0699912510936116</v>
      </c>
      <c r="I16" s="13">
        <f>F16*E16</f>
        <v>1062.6359490339605</v>
      </c>
      <c r="J16" s="13">
        <f>G16*E16</f>
        <v>136.48405096603923</v>
      </c>
      <c r="K16" s="13">
        <v>1199.1199999999999</v>
      </c>
      <c r="L16" s="4"/>
      <c r="N16" s="3"/>
    </row>
    <row r="17" spans="1:12">
      <c r="A17" s="8" t="s">
        <v>76</v>
      </c>
      <c r="B17" s="8" t="s">
        <v>17</v>
      </c>
      <c r="C17" s="10" t="s">
        <v>18</v>
      </c>
      <c r="D17" s="11" t="s">
        <v>15</v>
      </c>
      <c r="E17" s="12">
        <v>456.76</v>
      </c>
      <c r="F17" s="16">
        <f>H17*0.445733221</f>
        <v>6.6637097022325955</v>
      </c>
      <c r="G17" s="16">
        <f t="shared" ref="G17:G24" si="3">H17-F17</f>
        <v>8.2862859191002727</v>
      </c>
      <c r="H17" s="16">
        <f t="shared" si="0"/>
        <v>14.949995621332867</v>
      </c>
      <c r="I17" s="13">
        <f t="shared" ref="I17:I27" si="4">F17*E17</f>
        <v>3043.7160435917604</v>
      </c>
      <c r="J17" s="13">
        <f t="shared" ref="J17:J23" si="5">G17*E17</f>
        <v>3784.8439564082405</v>
      </c>
      <c r="K17" s="13">
        <v>6828.56</v>
      </c>
      <c r="L17" s="4"/>
    </row>
    <row r="18" spans="1:12" ht="30">
      <c r="A18" s="8" t="s">
        <v>77</v>
      </c>
      <c r="B18" s="8" t="s">
        <v>19</v>
      </c>
      <c r="C18" s="10" t="s">
        <v>20</v>
      </c>
      <c r="D18" s="11" t="s">
        <v>3</v>
      </c>
      <c r="E18" s="12">
        <v>428.64</v>
      </c>
      <c r="F18" s="16">
        <f>H18*0.750003627319294</f>
        <v>1.4250138908206875</v>
      </c>
      <c r="G18" s="16">
        <f t="shared" si="3"/>
        <v>0.47499544101955138</v>
      </c>
      <c r="H18" s="16">
        <f t="shared" si="0"/>
        <v>1.9000093318402389</v>
      </c>
      <c r="I18" s="13">
        <f t="shared" si="4"/>
        <v>610.81795416137948</v>
      </c>
      <c r="J18" s="13">
        <f t="shared" si="5"/>
        <v>203.60204583862048</v>
      </c>
      <c r="K18" s="13">
        <v>814.42</v>
      </c>
      <c r="L18" s="4"/>
    </row>
    <row r="19" spans="1:12" ht="30">
      <c r="A19" s="8" t="s">
        <v>78</v>
      </c>
      <c r="B19" s="8" t="s">
        <v>21</v>
      </c>
      <c r="C19" s="10" t="s">
        <v>88</v>
      </c>
      <c r="D19" s="11" t="s">
        <v>11</v>
      </c>
      <c r="E19" s="12">
        <v>271</v>
      </c>
      <c r="F19" s="16">
        <f>H19*0.730451026105972</f>
        <v>57.544931836628479</v>
      </c>
      <c r="G19" s="16">
        <f t="shared" si="3"/>
        <v>21.235068163371523</v>
      </c>
      <c r="H19" s="16">
        <f t="shared" si="0"/>
        <v>78.78</v>
      </c>
      <c r="I19" s="13">
        <f t="shared" si="4"/>
        <v>15594.676527726318</v>
      </c>
      <c r="J19" s="13">
        <f t="shared" si="5"/>
        <v>5754.7034722736826</v>
      </c>
      <c r="K19" s="13">
        <v>21349.38</v>
      </c>
      <c r="L19" s="4"/>
    </row>
    <row r="20" spans="1:12" ht="30">
      <c r="A20" s="8" t="s">
        <v>79</v>
      </c>
      <c r="B20" s="8" t="s">
        <v>22</v>
      </c>
      <c r="C20" s="10" t="s">
        <v>47</v>
      </c>
      <c r="D20" s="11" t="s">
        <v>11</v>
      </c>
      <c r="E20" s="12">
        <v>87</v>
      </c>
      <c r="F20" s="16">
        <f>H20*0.730451026105972</f>
        <v>84.644664905160028</v>
      </c>
      <c r="G20" s="16">
        <f t="shared" si="3"/>
        <v>31.235335094839968</v>
      </c>
      <c r="H20" s="16">
        <f t="shared" si="0"/>
        <v>115.88</v>
      </c>
      <c r="I20" s="13">
        <f t="shared" si="4"/>
        <v>7364.0858467489224</v>
      </c>
      <c r="J20" s="13">
        <f t="shared" si="5"/>
        <v>2717.474153251077</v>
      </c>
      <c r="K20" s="13">
        <v>10081.56</v>
      </c>
      <c r="L20" s="4"/>
    </row>
    <row r="21" spans="1:12" ht="30">
      <c r="A21" s="8" t="s">
        <v>80</v>
      </c>
      <c r="B21" s="8" t="s">
        <v>23</v>
      </c>
      <c r="C21" s="10" t="s">
        <v>24</v>
      </c>
      <c r="D21" s="11" t="s">
        <v>11</v>
      </c>
      <c r="E21" s="12">
        <v>28</v>
      </c>
      <c r="F21" s="16">
        <f>H21*0.730451026105972</f>
        <v>165.84160096709988</v>
      </c>
      <c r="G21" s="16">
        <f t="shared" si="3"/>
        <v>61.198399032900113</v>
      </c>
      <c r="H21" s="16">
        <f t="shared" si="0"/>
        <v>227.04</v>
      </c>
      <c r="I21" s="13">
        <f t="shared" si="4"/>
        <v>4643.564827078797</v>
      </c>
      <c r="J21" s="13">
        <f t="shared" si="5"/>
        <v>1713.5551729212032</v>
      </c>
      <c r="K21" s="13">
        <v>6357.12</v>
      </c>
      <c r="L21" s="4"/>
    </row>
    <row r="22" spans="1:12" ht="30">
      <c r="A22" s="8" t="s">
        <v>81</v>
      </c>
      <c r="B22" s="8" t="s">
        <v>25</v>
      </c>
      <c r="C22" s="10" t="s">
        <v>26</v>
      </c>
      <c r="D22" s="11" t="s">
        <v>3</v>
      </c>
      <c r="E22" s="12">
        <v>191.44</v>
      </c>
      <c r="F22" s="16">
        <f>H22*0.6</f>
        <v>0.92999373171750943</v>
      </c>
      <c r="G22" s="16">
        <f t="shared" si="3"/>
        <v>0.6199958211450064</v>
      </c>
      <c r="H22" s="16">
        <f t="shared" si="0"/>
        <v>1.5499895528625158</v>
      </c>
      <c r="I22" s="13">
        <f t="shared" si="4"/>
        <v>178.03800000000001</v>
      </c>
      <c r="J22" s="13">
        <f t="shared" si="5"/>
        <v>118.69200000000002</v>
      </c>
      <c r="K22" s="13">
        <v>296.73</v>
      </c>
      <c r="L22" s="4"/>
    </row>
    <row r="23" spans="1:12" ht="36" customHeight="1">
      <c r="A23" s="8" t="s">
        <v>86</v>
      </c>
      <c r="B23" s="8" t="s">
        <v>27</v>
      </c>
      <c r="C23" s="10" t="s">
        <v>28</v>
      </c>
      <c r="D23" s="11" t="s">
        <v>29</v>
      </c>
      <c r="E23" s="12">
        <v>18</v>
      </c>
      <c r="F23" s="16">
        <f>H23*0.581915612338629</f>
        <v>729.30901778788029</v>
      </c>
      <c r="G23" s="16">
        <f t="shared" si="3"/>
        <v>523.98098221211967</v>
      </c>
      <c r="H23" s="16">
        <f t="shared" si="0"/>
        <v>1253.29</v>
      </c>
      <c r="I23" s="13">
        <f t="shared" si="4"/>
        <v>13127.562320181845</v>
      </c>
      <c r="J23" s="13">
        <f t="shared" si="5"/>
        <v>9431.6576798181541</v>
      </c>
      <c r="K23" s="13">
        <v>22559.22</v>
      </c>
      <c r="L23" s="4"/>
    </row>
    <row r="24" spans="1:12" ht="38.25" customHeight="1">
      <c r="A24" s="8" t="s">
        <v>86</v>
      </c>
      <c r="B24" s="8" t="s">
        <v>30</v>
      </c>
      <c r="C24" s="10" t="s">
        <v>31</v>
      </c>
      <c r="D24" s="11" t="s">
        <v>29</v>
      </c>
      <c r="E24" s="12">
        <v>2</v>
      </c>
      <c r="F24" s="16">
        <f>H24*0.581915612338629</f>
        <v>1315.5482631261852</v>
      </c>
      <c r="G24" s="16">
        <f t="shared" si="3"/>
        <v>945.17173687381455</v>
      </c>
      <c r="H24" s="16">
        <f t="shared" si="0"/>
        <v>2260.7199999999998</v>
      </c>
      <c r="I24" s="13">
        <f t="shared" si="4"/>
        <v>2631.0965262523705</v>
      </c>
      <c r="J24" s="13">
        <f>G24*E24</f>
        <v>1890.3434737476291</v>
      </c>
      <c r="K24" s="13">
        <v>4521.4399999999996</v>
      </c>
      <c r="L24" s="4"/>
    </row>
    <row r="25" spans="1:12" s="2" customFormat="1" ht="15" customHeight="1">
      <c r="A25" s="9">
        <v>5</v>
      </c>
      <c r="B25" s="30" t="s">
        <v>32</v>
      </c>
      <c r="C25" s="31"/>
      <c r="D25" s="31"/>
      <c r="E25" s="31"/>
      <c r="F25" s="31"/>
      <c r="G25" s="31"/>
      <c r="H25" s="31"/>
      <c r="I25" s="31"/>
      <c r="J25" s="31"/>
      <c r="K25" s="20">
        <f>SUM(K26:K27)</f>
        <v>3543.87</v>
      </c>
      <c r="L25" s="4"/>
    </row>
    <row r="26" spans="1:12" ht="30">
      <c r="A26" s="8" t="s">
        <v>82</v>
      </c>
      <c r="B26" s="8" t="s">
        <v>33</v>
      </c>
      <c r="C26" s="10" t="s">
        <v>34</v>
      </c>
      <c r="D26" s="11" t="s">
        <v>29</v>
      </c>
      <c r="E26" s="12">
        <v>4</v>
      </c>
      <c r="F26" s="16">
        <f>H26*0.7</f>
        <v>384.09000000000003</v>
      </c>
      <c r="G26" s="16">
        <f>H26-F26</f>
        <v>164.61</v>
      </c>
      <c r="H26" s="16">
        <f t="shared" si="0"/>
        <v>548.70000000000005</v>
      </c>
      <c r="I26" s="13">
        <f t="shared" si="4"/>
        <v>1536.3600000000001</v>
      </c>
      <c r="J26" s="13">
        <f t="shared" ref="J26:J27" si="6">G26*E26</f>
        <v>658.44</v>
      </c>
      <c r="K26" s="13">
        <v>2194.8000000000002</v>
      </c>
      <c r="L26" s="4"/>
    </row>
    <row r="27" spans="1:12" ht="30">
      <c r="A27" s="8" t="s">
        <v>84</v>
      </c>
      <c r="B27" s="8" t="s">
        <v>35</v>
      </c>
      <c r="C27" s="10" t="s">
        <v>36</v>
      </c>
      <c r="D27" s="11" t="s">
        <v>29</v>
      </c>
      <c r="E27" s="12">
        <v>3</v>
      </c>
      <c r="F27" s="16">
        <f>H27*0.7</f>
        <v>314.78299999999996</v>
      </c>
      <c r="G27" s="16">
        <f>H27-F27</f>
        <v>134.90700000000004</v>
      </c>
      <c r="H27" s="16">
        <f t="shared" si="0"/>
        <v>449.69</v>
      </c>
      <c r="I27" s="13">
        <f t="shared" si="4"/>
        <v>944.34899999999993</v>
      </c>
      <c r="J27" s="13">
        <f t="shared" si="6"/>
        <v>404.72100000000012</v>
      </c>
      <c r="K27" s="13">
        <v>1349.07</v>
      </c>
      <c r="L27" s="4"/>
    </row>
    <row r="28" spans="1:12" ht="15" customHeight="1">
      <c r="A28" s="9">
        <v>6</v>
      </c>
      <c r="B28" s="30" t="s">
        <v>37</v>
      </c>
      <c r="C28" s="31"/>
      <c r="D28" s="31"/>
      <c r="E28" s="31"/>
      <c r="F28" s="31"/>
      <c r="G28" s="31"/>
      <c r="H28" s="31"/>
      <c r="I28" s="31"/>
      <c r="J28" s="31"/>
      <c r="K28" s="20">
        <f>SUM(K29:K33)</f>
        <v>127458.26000000001</v>
      </c>
      <c r="L28" s="4"/>
    </row>
    <row r="29" spans="1:12" ht="30">
      <c r="A29" s="8" t="s">
        <v>85</v>
      </c>
      <c r="B29" s="8" t="s">
        <v>38</v>
      </c>
      <c r="C29" s="10" t="s">
        <v>39</v>
      </c>
      <c r="D29" s="11" t="s">
        <v>15</v>
      </c>
      <c r="E29" s="12">
        <v>227.35</v>
      </c>
      <c r="F29" s="16">
        <f>H29*0.680789947</f>
        <v>23.085591594456474</v>
      </c>
      <c r="G29" s="16">
        <f>H29-F29</f>
        <v>10.824415003300288</v>
      </c>
      <c r="H29" s="16">
        <f t="shared" si="0"/>
        <v>33.910006597756762</v>
      </c>
      <c r="I29" s="13">
        <f>F29*E29</f>
        <v>5248.5092489996796</v>
      </c>
      <c r="J29" s="13">
        <f>G29*E29</f>
        <v>2460.9307510003205</v>
      </c>
      <c r="K29" s="13">
        <v>7709.44</v>
      </c>
      <c r="L29" s="4"/>
    </row>
    <row r="30" spans="1:12" ht="30">
      <c r="A30" s="8" t="s">
        <v>68</v>
      </c>
      <c r="B30" s="8" t="s">
        <v>19</v>
      </c>
      <c r="C30" s="10" t="s">
        <v>20</v>
      </c>
      <c r="D30" s="11" t="s">
        <v>3</v>
      </c>
      <c r="E30" s="12">
        <v>1136.73</v>
      </c>
      <c r="F30" s="16">
        <f>H30*0.750003627319294</f>
        <v>1.4250088712780855</v>
      </c>
      <c r="G30" s="16">
        <f>H30-F30</f>
        <v>0.47499376787105274</v>
      </c>
      <c r="H30" s="16">
        <f t="shared" si="0"/>
        <v>1.9000026391491383</v>
      </c>
      <c r="I30" s="13">
        <f>F30*E30</f>
        <v>1619.8503342479382</v>
      </c>
      <c r="J30" s="13">
        <f>G30*E30</f>
        <v>539.93966575206184</v>
      </c>
      <c r="K30" s="13">
        <v>2159.79</v>
      </c>
      <c r="L30" s="4"/>
    </row>
    <row r="31" spans="1:12" ht="30">
      <c r="A31" s="8" t="s">
        <v>74</v>
      </c>
      <c r="B31" s="8" t="s">
        <v>40</v>
      </c>
      <c r="C31" s="10" t="s">
        <v>41</v>
      </c>
      <c r="D31" s="11" t="s">
        <v>15</v>
      </c>
      <c r="E31" s="12">
        <v>34.17</v>
      </c>
      <c r="F31" s="16">
        <f>H31*0.747327157</f>
        <v>75.861251880895509</v>
      </c>
      <c r="G31" s="16">
        <f t="shared" ref="G31:G33" si="7">H31-F31</f>
        <v>25.648844695048297</v>
      </c>
      <c r="H31" s="16">
        <f t="shared" si="0"/>
        <v>101.51009657594381</v>
      </c>
      <c r="I31" s="13">
        <f t="shared" ref="I31:I33" si="8">F31*E31</f>
        <v>2592.1789767701998</v>
      </c>
      <c r="J31" s="13">
        <f t="shared" ref="J31:J33" si="9">G31*E31</f>
        <v>876.42102322980031</v>
      </c>
      <c r="K31" s="13">
        <v>3468.6</v>
      </c>
      <c r="L31" s="4"/>
    </row>
    <row r="32" spans="1:12" ht="45">
      <c r="A32" s="8" t="s">
        <v>87</v>
      </c>
      <c r="B32" s="8" t="s">
        <v>42</v>
      </c>
      <c r="C32" s="10" t="s">
        <v>43</v>
      </c>
      <c r="D32" s="11" t="s">
        <v>3</v>
      </c>
      <c r="E32" s="12">
        <v>1136.73</v>
      </c>
      <c r="F32" s="16">
        <f>H32*0.908173437</f>
        <v>87.920269397354431</v>
      </c>
      <c r="G32" s="16">
        <f t="shared" si="7"/>
        <v>8.8897294590142764</v>
      </c>
      <c r="H32" s="16">
        <f t="shared" si="0"/>
        <v>96.809998856368708</v>
      </c>
      <c r="I32" s="13">
        <f t="shared" si="8"/>
        <v>99941.607832054709</v>
      </c>
      <c r="J32" s="13">
        <f t="shared" si="9"/>
        <v>10105.222167945298</v>
      </c>
      <c r="K32" s="13">
        <v>110046.83</v>
      </c>
      <c r="L32" s="4"/>
    </row>
    <row r="33" spans="1:12">
      <c r="A33" s="8" t="s">
        <v>83</v>
      </c>
      <c r="B33" s="8" t="s">
        <v>44</v>
      </c>
      <c r="C33" s="10" t="s">
        <v>45</v>
      </c>
      <c r="D33" s="11" t="s">
        <v>29</v>
      </c>
      <c r="E33" s="12">
        <v>10</v>
      </c>
      <c r="F33" s="16">
        <f>H33*0.703650764269548</f>
        <v>286.63917533284308</v>
      </c>
      <c r="G33" s="16">
        <f t="shared" si="7"/>
        <v>120.72082466715693</v>
      </c>
      <c r="H33" s="16">
        <f t="shared" si="0"/>
        <v>407.36</v>
      </c>
      <c r="I33" s="13">
        <f t="shared" si="8"/>
        <v>2866.3917533284307</v>
      </c>
      <c r="J33" s="13">
        <f t="shared" si="9"/>
        <v>1207.2082466715692</v>
      </c>
      <c r="K33" s="13">
        <v>4073.6</v>
      </c>
      <c r="L33" s="4"/>
    </row>
    <row r="34" spans="1:12" ht="20.25" customHeight="1">
      <c r="H34" s="23" t="s">
        <v>97</v>
      </c>
      <c r="I34" s="22">
        <f>SUM(I6,I8:I10,I12:I13,I15:I24,I26:I27,I29:I33)</f>
        <v>346566.20987418218</v>
      </c>
      <c r="J34" s="22">
        <f>SUM(J6,J8:J10,J12:J13,J15:J24,J26:J27,J29:J33)</f>
        <v>84321.650125817789</v>
      </c>
      <c r="K34" s="22">
        <f>K28+K25+K14+K11+K5+K7</f>
        <v>430887.86000000004</v>
      </c>
    </row>
    <row r="35" spans="1:12">
      <c r="H35"/>
      <c r="J35"/>
      <c r="K35"/>
    </row>
    <row r="36" spans="1:12">
      <c r="H36"/>
      <c r="I36"/>
      <c r="J36" s="21"/>
      <c r="K36"/>
      <c r="L36" s="3"/>
    </row>
    <row r="37" spans="1:12">
      <c r="H37"/>
      <c r="I37"/>
      <c r="J37"/>
      <c r="K37"/>
    </row>
    <row r="38" spans="1:12">
      <c r="H38"/>
      <c r="I38"/>
      <c r="J38"/>
      <c r="K38"/>
    </row>
    <row r="39" spans="1:12">
      <c r="H39"/>
      <c r="I39"/>
      <c r="J39"/>
      <c r="K39"/>
      <c r="L39" s="3"/>
    </row>
    <row r="40" spans="1:12">
      <c r="H40"/>
      <c r="I40"/>
      <c r="J40"/>
      <c r="K40"/>
    </row>
    <row r="41" spans="1:12">
      <c r="H41"/>
      <c r="I41"/>
      <c r="J41"/>
      <c r="K41"/>
    </row>
    <row r="42" spans="1:12">
      <c r="H42"/>
      <c r="I42"/>
      <c r="J42"/>
      <c r="K42"/>
    </row>
    <row r="43" spans="1:12">
      <c r="H43"/>
      <c r="I43"/>
      <c r="J43"/>
      <c r="K43"/>
    </row>
    <row r="44" spans="1:12">
      <c r="H44"/>
      <c r="I44"/>
      <c r="J44"/>
      <c r="K44"/>
    </row>
    <row r="45" spans="1:12">
      <c r="H45"/>
      <c r="I45"/>
      <c r="J45"/>
      <c r="K45"/>
    </row>
    <row r="46" spans="1:12">
      <c r="H46"/>
      <c r="I46"/>
      <c r="J46"/>
      <c r="K46"/>
    </row>
    <row r="47" spans="1:12">
      <c r="H47"/>
      <c r="I47"/>
      <c r="J47"/>
      <c r="K47"/>
    </row>
    <row r="48" spans="1:12">
      <c r="H48"/>
      <c r="I48"/>
      <c r="J48"/>
      <c r="K48"/>
    </row>
    <row r="49" spans="8:11">
      <c r="H49"/>
      <c r="I49"/>
      <c r="J49"/>
      <c r="K49"/>
    </row>
    <row r="50" spans="8:11">
      <c r="H50"/>
      <c r="I50"/>
      <c r="J50"/>
      <c r="K50"/>
    </row>
    <row r="51" spans="8:11">
      <c r="H51"/>
      <c r="I51"/>
      <c r="J51"/>
      <c r="K51"/>
    </row>
    <row r="52" spans="8:11">
      <c r="H52"/>
      <c r="I52"/>
      <c r="J52"/>
      <c r="K52"/>
    </row>
    <row r="53" spans="8:11">
      <c r="H53"/>
      <c r="I53"/>
      <c r="J53"/>
      <c r="K53"/>
    </row>
    <row r="54" spans="8:11">
      <c r="H54"/>
      <c r="I54"/>
      <c r="J54"/>
      <c r="K54"/>
    </row>
    <row r="55" spans="8:11">
      <c r="H55"/>
      <c r="I55"/>
      <c r="J55"/>
      <c r="K55"/>
    </row>
    <row r="56" spans="8:11">
      <c r="H56"/>
      <c r="I56"/>
      <c r="J56"/>
      <c r="K56"/>
    </row>
    <row r="57" spans="8:11">
      <c r="H57"/>
      <c r="I57"/>
      <c r="J57"/>
      <c r="K57"/>
    </row>
    <row r="58" spans="8:11">
      <c r="H58"/>
      <c r="I58"/>
      <c r="J58"/>
      <c r="K58"/>
    </row>
    <row r="59" spans="8:11">
      <c r="H59"/>
      <c r="I59"/>
      <c r="J59"/>
      <c r="K59"/>
    </row>
    <row r="60" spans="8:11">
      <c r="H60"/>
      <c r="I60"/>
      <c r="J60"/>
      <c r="K60"/>
    </row>
    <row r="61" spans="8:11">
      <c r="H61"/>
      <c r="I61"/>
      <c r="J61"/>
      <c r="K61"/>
    </row>
    <row r="62" spans="8:11">
      <c r="H62"/>
      <c r="I62"/>
      <c r="J62"/>
      <c r="K62"/>
    </row>
    <row r="63" spans="8:11">
      <c r="H63"/>
      <c r="I63"/>
      <c r="J63"/>
      <c r="K63"/>
    </row>
    <row r="64" spans="8:11">
      <c r="H64"/>
      <c r="I64"/>
      <c r="J64"/>
      <c r="K64"/>
    </row>
    <row r="65" spans="8:11">
      <c r="H65"/>
      <c r="I65"/>
      <c r="J65"/>
      <c r="K65"/>
    </row>
    <row r="66" spans="8:11">
      <c r="H66"/>
      <c r="I66"/>
      <c r="J66"/>
      <c r="K66"/>
    </row>
    <row r="67" spans="8:11">
      <c r="H67"/>
      <c r="I67"/>
      <c r="J67"/>
      <c r="K67"/>
    </row>
    <row r="68" spans="8:11">
      <c r="H68"/>
      <c r="I68"/>
      <c r="J68"/>
      <c r="K68"/>
    </row>
    <row r="69" spans="8:11">
      <c r="H69"/>
      <c r="I69"/>
      <c r="J69"/>
      <c r="K69"/>
    </row>
    <row r="70" spans="8:11">
      <c r="H70"/>
      <c r="I70"/>
      <c r="J70"/>
      <c r="K70"/>
    </row>
    <row r="71" spans="8:11">
      <c r="H71"/>
      <c r="I71"/>
      <c r="J71"/>
      <c r="K71"/>
    </row>
    <row r="72" spans="8:11">
      <c r="H72"/>
      <c r="I72"/>
      <c r="J72"/>
      <c r="K72"/>
    </row>
    <row r="73" spans="8:11">
      <c r="H73"/>
      <c r="I73"/>
      <c r="J73"/>
      <c r="K73"/>
    </row>
    <row r="74" spans="8:11">
      <c r="H74"/>
      <c r="I74"/>
      <c r="J74"/>
      <c r="K74"/>
    </row>
    <row r="75" spans="8:11">
      <c r="H75"/>
      <c r="I75"/>
      <c r="J75"/>
      <c r="K75"/>
    </row>
    <row r="76" spans="8:11">
      <c r="H76"/>
      <c r="I76"/>
      <c r="J76"/>
      <c r="K76"/>
    </row>
    <row r="77" spans="8:11">
      <c r="H77"/>
      <c r="I77"/>
      <c r="J77"/>
      <c r="K77"/>
    </row>
    <row r="78" spans="8:11">
      <c r="H78"/>
      <c r="I78"/>
      <c r="J78"/>
      <c r="K78"/>
    </row>
    <row r="79" spans="8:11">
      <c r="H79"/>
      <c r="I79"/>
      <c r="J79"/>
      <c r="K79"/>
    </row>
    <row r="80" spans="8:11">
      <c r="H80"/>
      <c r="I80"/>
      <c r="J80"/>
      <c r="K80"/>
    </row>
    <row r="81" spans="8:11">
      <c r="H81"/>
      <c r="I81"/>
      <c r="J81"/>
      <c r="K81"/>
    </row>
    <row r="82" spans="8:11">
      <c r="H82"/>
      <c r="I82"/>
      <c r="J82"/>
      <c r="K82"/>
    </row>
    <row r="83" spans="8:11">
      <c r="H83"/>
      <c r="I83"/>
      <c r="J83"/>
      <c r="K83"/>
    </row>
    <row r="84" spans="8:11">
      <c r="H84"/>
      <c r="I84"/>
      <c r="J84"/>
      <c r="K84"/>
    </row>
    <row r="85" spans="8:11">
      <c r="H85"/>
      <c r="I85"/>
      <c r="J85"/>
      <c r="K85"/>
    </row>
    <row r="86" spans="8:11">
      <c r="H86"/>
      <c r="I86"/>
      <c r="J86"/>
      <c r="K86"/>
    </row>
    <row r="87" spans="8:11">
      <c r="H87"/>
      <c r="I87"/>
      <c r="J87"/>
      <c r="K87"/>
    </row>
    <row r="88" spans="8:11">
      <c r="H88"/>
      <c r="I88"/>
      <c r="J88"/>
      <c r="K88"/>
    </row>
    <row r="89" spans="8:11">
      <c r="H89"/>
      <c r="I89"/>
      <c r="J89"/>
      <c r="K89"/>
    </row>
    <row r="90" spans="8:11">
      <c r="H90"/>
      <c r="I90"/>
      <c r="J90"/>
      <c r="K90"/>
    </row>
    <row r="91" spans="8:11">
      <c r="H91"/>
      <c r="I91"/>
      <c r="J91"/>
      <c r="K91"/>
    </row>
    <row r="92" spans="8:11">
      <c r="H92"/>
      <c r="I92"/>
      <c r="J92"/>
      <c r="K92"/>
    </row>
    <row r="93" spans="8:11">
      <c r="H93"/>
      <c r="I93"/>
      <c r="J93"/>
      <c r="K93"/>
    </row>
    <row r="94" spans="8:11">
      <c r="H94"/>
      <c r="I94"/>
      <c r="J94"/>
      <c r="K94"/>
    </row>
    <row r="95" spans="8:11">
      <c r="H95"/>
      <c r="I95"/>
      <c r="J95"/>
      <c r="K95"/>
    </row>
    <row r="96" spans="8:11">
      <c r="H96"/>
      <c r="I96"/>
      <c r="J96"/>
      <c r="K96"/>
    </row>
    <row r="97" spans="8:11">
      <c r="H97"/>
      <c r="I97"/>
      <c r="J97"/>
      <c r="K97"/>
    </row>
    <row r="98" spans="8:11">
      <c r="H98"/>
      <c r="I98"/>
      <c r="J98"/>
      <c r="K98"/>
    </row>
    <row r="99" spans="8:11">
      <c r="H99"/>
      <c r="I99"/>
      <c r="J99"/>
      <c r="K99"/>
    </row>
    <row r="100" spans="8:11">
      <c r="H100"/>
      <c r="I100"/>
      <c r="J100"/>
      <c r="K100"/>
    </row>
    <row r="101" spans="8:11">
      <c r="H101"/>
      <c r="I101"/>
      <c r="J101"/>
      <c r="K101"/>
    </row>
    <row r="102" spans="8:11">
      <c r="H102"/>
      <c r="I102"/>
      <c r="J102"/>
      <c r="K102"/>
    </row>
    <row r="103" spans="8:11">
      <c r="H103"/>
      <c r="I103"/>
      <c r="J103"/>
      <c r="K103"/>
    </row>
    <row r="104" spans="8:11">
      <c r="H104"/>
      <c r="I104"/>
      <c r="J104"/>
      <c r="K104"/>
    </row>
    <row r="105" spans="8:11">
      <c r="H105"/>
      <c r="I105"/>
      <c r="J105"/>
      <c r="K105"/>
    </row>
    <row r="106" spans="8:11">
      <c r="H106"/>
      <c r="I106"/>
      <c r="J106"/>
      <c r="K106"/>
    </row>
    <row r="107" spans="8:11">
      <c r="H107"/>
      <c r="I107"/>
      <c r="J107"/>
      <c r="K107"/>
    </row>
    <row r="108" spans="8:11">
      <c r="H108"/>
      <c r="I108"/>
      <c r="J108"/>
      <c r="K108"/>
    </row>
    <row r="109" spans="8:11">
      <c r="H109"/>
      <c r="I109"/>
      <c r="J109"/>
      <c r="K109"/>
    </row>
    <row r="110" spans="8:11">
      <c r="H110"/>
      <c r="I110"/>
      <c r="J110"/>
      <c r="K110"/>
    </row>
    <row r="111" spans="8:11">
      <c r="H111"/>
      <c r="I111"/>
      <c r="J111"/>
      <c r="K111"/>
    </row>
    <row r="112" spans="8:11">
      <c r="H112"/>
      <c r="I112"/>
      <c r="J112"/>
      <c r="K112"/>
    </row>
    <row r="113" spans="8:11">
      <c r="H113"/>
      <c r="I113"/>
      <c r="J113"/>
      <c r="K113"/>
    </row>
    <row r="114" spans="8:11">
      <c r="H114"/>
      <c r="I114"/>
      <c r="J114"/>
      <c r="K114"/>
    </row>
    <row r="115" spans="8:11">
      <c r="H115"/>
      <c r="I115"/>
      <c r="J115"/>
      <c r="K115"/>
    </row>
    <row r="116" spans="8:11">
      <c r="H116"/>
      <c r="I116"/>
      <c r="J116"/>
      <c r="K116"/>
    </row>
    <row r="117" spans="8:11">
      <c r="H117"/>
      <c r="I117"/>
      <c r="J117"/>
      <c r="K117"/>
    </row>
    <row r="118" spans="8:11">
      <c r="H118"/>
      <c r="I118"/>
      <c r="J118"/>
      <c r="K118"/>
    </row>
    <row r="119" spans="8:11">
      <c r="H119"/>
      <c r="I119"/>
      <c r="J119"/>
      <c r="K119"/>
    </row>
    <row r="120" spans="8:11">
      <c r="H120"/>
      <c r="I120"/>
      <c r="J120"/>
      <c r="K120"/>
    </row>
    <row r="121" spans="8:11">
      <c r="H121"/>
      <c r="I121"/>
      <c r="J121"/>
      <c r="K121"/>
    </row>
    <row r="122" spans="8:11">
      <c r="H122"/>
      <c r="I122"/>
      <c r="J122"/>
      <c r="K122"/>
    </row>
    <row r="123" spans="8:11">
      <c r="H123"/>
      <c r="I123"/>
      <c r="J123"/>
      <c r="K123"/>
    </row>
    <row r="124" spans="8:11">
      <c r="H124"/>
      <c r="I124"/>
      <c r="J124"/>
      <c r="K124"/>
    </row>
    <row r="125" spans="8:11">
      <c r="H125"/>
      <c r="I125"/>
      <c r="J125"/>
      <c r="K125"/>
    </row>
    <row r="126" spans="8:11">
      <c r="H126"/>
      <c r="I126"/>
      <c r="J126"/>
      <c r="K126"/>
    </row>
    <row r="127" spans="8:11">
      <c r="H127"/>
      <c r="I127"/>
      <c r="J127"/>
      <c r="K127"/>
    </row>
    <row r="128" spans="8:11">
      <c r="H128"/>
      <c r="I128"/>
      <c r="J128"/>
      <c r="K128"/>
    </row>
    <row r="129" spans="8:11">
      <c r="H129"/>
      <c r="I129"/>
      <c r="J129"/>
      <c r="K129"/>
    </row>
    <row r="130" spans="8:11">
      <c r="H130"/>
      <c r="I130"/>
      <c r="J130"/>
      <c r="K130"/>
    </row>
    <row r="131" spans="8:11">
      <c r="H131"/>
      <c r="I131"/>
      <c r="J131"/>
      <c r="K131"/>
    </row>
    <row r="132" spans="8:11">
      <c r="H132"/>
      <c r="I132"/>
      <c r="J132"/>
      <c r="K132"/>
    </row>
    <row r="133" spans="8:11">
      <c r="H133"/>
      <c r="I133"/>
      <c r="J133"/>
      <c r="K133"/>
    </row>
    <row r="134" spans="8:11">
      <c r="H134"/>
      <c r="I134"/>
      <c r="J134"/>
      <c r="K134"/>
    </row>
    <row r="135" spans="8:11">
      <c r="H135"/>
      <c r="I135"/>
      <c r="J135"/>
      <c r="K135"/>
    </row>
    <row r="136" spans="8:11">
      <c r="H136"/>
      <c r="I136"/>
      <c r="J136"/>
      <c r="K136"/>
    </row>
    <row r="137" spans="8:11">
      <c r="H137"/>
      <c r="I137"/>
      <c r="J137"/>
      <c r="K137"/>
    </row>
    <row r="138" spans="8:11">
      <c r="H138"/>
      <c r="I138"/>
      <c r="J138"/>
      <c r="K138"/>
    </row>
    <row r="139" spans="8:11">
      <c r="H139"/>
      <c r="I139"/>
      <c r="J139"/>
      <c r="K139"/>
    </row>
    <row r="140" spans="8:11">
      <c r="H140"/>
      <c r="I140"/>
      <c r="J140"/>
      <c r="K140"/>
    </row>
    <row r="141" spans="8:11">
      <c r="H141"/>
      <c r="I141"/>
      <c r="J141"/>
      <c r="K141"/>
    </row>
    <row r="142" spans="8:11">
      <c r="H142"/>
      <c r="I142"/>
      <c r="J142"/>
      <c r="K142"/>
    </row>
    <row r="143" spans="8:11">
      <c r="H143"/>
      <c r="I143"/>
      <c r="J143"/>
      <c r="K143"/>
    </row>
    <row r="144" spans="8:11">
      <c r="H144"/>
      <c r="I144"/>
      <c r="J144"/>
      <c r="K144"/>
    </row>
    <row r="145" spans="8:11">
      <c r="H145"/>
      <c r="I145"/>
      <c r="J145"/>
      <c r="K145"/>
    </row>
    <row r="146" spans="8:11">
      <c r="H146"/>
      <c r="I146"/>
      <c r="J146"/>
      <c r="K146"/>
    </row>
    <row r="147" spans="8:11">
      <c r="H147"/>
      <c r="I147"/>
      <c r="J147"/>
      <c r="K147"/>
    </row>
    <row r="148" spans="8:11">
      <c r="H148"/>
      <c r="I148"/>
      <c r="J148"/>
      <c r="K148"/>
    </row>
    <row r="149" spans="8:11">
      <c r="H149"/>
      <c r="I149"/>
      <c r="J149"/>
      <c r="K149"/>
    </row>
    <row r="150" spans="8:11">
      <c r="H150"/>
      <c r="I150"/>
      <c r="J150"/>
      <c r="K150"/>
    </row>
    <row r="151" spans="8:11">
      <c r="H151"/>
      <c r="I151"/>
      <c r="J151"/>
      <c r="K151"/>
    </row>
    <row r="152" spans="8:11">
      <c r="H152"/>
      <c r="I152"/>
      <c r="J152"/>
      <c r="K152"/>
    </row>
    <row r="153" spans="8:11">
      <c r="H153"/>
      <c r="I153"/>
      <c r="J153"/>
      <c r="K153"/>
    </row>
    <row r="154" spans="8:11">
      <c r="H154"/>
      <c r="I154"/>
      <c r="J154"/>
      <c r="K154"/>
    </row>
    <row r="155" spans="8:11">
      <c r="H155"/>
      <c r="I155"/>
      <c r="J155"/>
      <c r="K155"/>
    </row>
    <row r="156" spans="8:11">
      <c r="H156"/>
      <c r="I156"/>
      <c r="J156"/>
      <c r="K156"/>
    </row>
    <row r="157" spans="8:11">
      <c r="H157"/>
      <c r="I157"/>
      <c r="J157"/>
      <c r="K157"/>
    </row>
    <row r="158" spans="8:11">
      <c r="H158"/>
      <c r="I158"/>
      <c r="J158"/>
      <c r="K158"/>
    </row>
    <row r="159" spans="8:11">
      <c r="H159"/>
      <c r="I159"/>
      <c r="J159"/>
      <c r="K159"/>
    </row>
    <row r="160" spans="8:11">
      <c r="H160"/>
      <c r="I160"/>
      <c r="J160"/>
      <c r="K160"/>
    </row>
    <row r="161" spans="8:11">
      <c r="H161"/>
      <c r="I161"/>
      <c r="J161"/>
      <c r="K161"/>
    </row>
    <row r="162" spans="8:11">
      <c r="H162"/>
      <c r="I162"/>
      <c r="J162"/>
      <c r="K162"/>
    </row>
    <row r="163" spans="8:11">
      <c r="H163"/>
      <c r="I163"/>
      <c r="J163"/>
      <c r="K163"/>
    </row>
    <row r="164" spans="8:11">
      <c r="H164"/>
      <c r="I164"/>
      <c r="J164"/>
      <c r="K164"/>
    </row>
    <row r="165" spans="8:11">
      <c r="H165"/>
      <c r="I165"/>
      <c r="J165"/>
      <c r="K165"/>
    </row>
    <row r="166" spans="8:11">
      <c r="H166"/>
      <c r="I166"/>
      <c r="J166"/>
      <c r="K166"/>
    </row>
    <row r="167" spans="8:11">
      <c r="H167"/>
      <c r="I167"/>
      <c r="J167"/>
      <c r="K167"/>
    </row>
    <row r="168" spans="8:11">
      <c r="H168"/>
      <c r="I168"/>
      <c r="J168"/>
      <c r="K168"/>
    </row>
    <row r="169" spans="8:11">
      <c r="H169"/>
      <c r="I169"/>
      <c r="J169"/>
      <c r="K169"/>
    </row>
    <row r="170" spans="8:11">
      <c r="H170"/>
      <c r="I170"/>
      <c r="J170"/>
      <c r="K170"/>
    </row>
    <row r="171" spans="8:11">
      <c r="H171"/>
      <c r="I171"/>
      <c r="J171"/>
      <c r="K171"/>
    </row>
    <row r="172" spans="8:11">
      <c r="H172"/>
      <c r="I172"/>
      <c r="J172"/>
      <c r="K172"/>
    </row>
    <row r="173" spans="8:11">
      <c r="H173"/>
      <c r="I173"/>
      <c r="J173"/>
      <c r="K173"/>
    </row>
    <row r="174" spans="8:11">
      <c r="H174"/>
      <c r="I174"/>
      <c r="J174"/>
      <c r="K174"/>
    </row>
    <row r="175" spans="8:11">
      <c r="H175"/>
      <c r="I175"/>
      <c r="J175"/>
      <c r="K175"/>
    </row>
    <row r="176" spans="8:11">
      <c r="H176"/>
      <c r="I176"/>
      <c r="J176"/>
      <c r="K176"/>
    </row>
    <row r="177" spans="8:11">
      <c r="H177"/>
      <c r="I177"/>
      <c r="J177"/>
      <c r="K177"/>
    </row>
    <row r="178" spans="8:11">
      <c r="H178"/>
      <c r="I178"/>
      <c r="J178"/>
      <c r="K178"/>
    </row>
    <row r="179" spans="8:11">
      <c r="H179"/>
      <c r="I179"/>
      <c r="J179"/>
      <c r="K179"/>
    </row>
    <row r="180" spans="8:11">
      <c r="H180"/>
      <c r="I180"/>
      <c r="J180"/>
      <c r="K180"/>
    </row>
    <row r="181" spans="8:11">
      <c r="H181"/>
      <c r="I181"/>
      <c r="J181"/>
      <c r="K181"/>
    </row>
    <row r="182" spans="8:11">
      <c r="H182"/>
      <c r="I182"/>
      <c r="J182"/>
      <c r="K182"/>
    </row>
    <row r="183" spans="8:11">
      <c r="H183"/>
      <c r="I183"/>
      <c r="J183"/>
      <c r="K183"/>
    </row>
    <row r="184" spans="8:11">
      <c r="H184"/>
      <c r="I184"/>
      <c r="J184"/>
      <c r="K184"/>
    </row>
    <row r="185" spans="8:11">
      <c r="H185"/>
      <c r="I185"/>
      <c r="J185"/>
      <c r="K185"/>
    </row>
    <row r="186" spans="8:11">
      <c r="H186"/>
      <c r="I186"/>
      <c r="J186"/>
      <c r="K186"/>
    </row>
    <row r="187" spans="8:11">
      <c r="H187"/>
      <c r="I187"/>
      <c r="J187"/>
      <c r="K187"/>
    </row>
    <row r="188" spans="8:11">
      <c r="H188"/>
      <c r="I188"/>
      <c r="J188"/>
      <c r="K188"/>
    </row>
    <row r="189" spans="8:11">
      <c r="H189"/>
      <c r="I189"/>
      <c r="J189"/>
      <c r="K189"/>
    </row>
    <row r="190" spans="8:11">
      <c r="H190"/>
      <c r="I190"/>
      <c r="J190"/>
      <c r="K190"/>
    </row>
    <row r="191" spans="8:11">
      <c r="H191"/>
      <c r="I191"/>
      <c r="J191"/>
      <c r="K191"/>
    </row>
    <row r="192" spans="8:11">
      <c r="H192"/>
      <c r="I192"/>
      <c r="J192"/>
      <c r="K192"/>
    </row>
    <row r="193" spans="8:11">
      <c r="H193"/>
      <c r="I193"/>
      <c r="J193"/>
      <c r="K193"/>
    </row>
    <row r="194" spans="8:11">
      <c r="H194"/>
      <c r="I194"/>
      <c r="J194"/>
      <c r="K194"/>
    </row>
    <row r="195" spans="8:11">
      <c r="H195"/>
      <c r="I195"/>
      <c r="J195"/>
      <c r="K195"/>
    </row>
    <row r="196" spans="8:11">
      <c r="H196"/>
      <c r="I196"/>
      <c r="J196"/>
      <c r="K196"/>
    </row>
    <row r="197" spans="8:11">
      <c r="H197"/>
      <c r="I197"/>
      <c r="J197"/>
      <c r="K197"/>
    </row>
    <row r="198" spans="8:11">
      <c r="H198"/>
      <c r="I198"/>
      <c r="J198"/>
      <c r="K198"/>
    </row>
    <row r="199" spans="8:11">
      <c r="H199"/>
      <c r="I199"/>
      <c r="J199"/>
      <c r="K199"/>
    </row>
    <row r="200" spans="8:11">
      <c r="H200"/>
      <c r="I200"/>
      <c r="J200"/>
      <c r="K200"/>
    </row>
    <row r="201" spans="8:11">
      <c r="H201"/>
      <c r="I201"/>
      <c r="J201"/>
      <c r="K201"/>
    </row>
    <row r="202" spans="8:11">
      <c r="H202"/>
      <c r="I202"/>
      <c r="J202"/>
      <c r="K202"/>
    </row>
    <row r="203" spans="8:11">
      <c r="H203"/>
      <c r="I203"/>
      <c r="J203"/>
      <c r="K203"/>
    </row>
    <row r="204" spans="8:11">
      <c r="H204"/>
      <c r="I204"/>
      <c r="J204"/>
      <c r="K204"/>
    </row>
    <row r="205" spans="8:11">
      <c r="H205"/>
      <c r="I205"/>
      <c r="J205"/>
      <c r="K205"/>
    </row>
    <row r="206" spans="8:11">
      <c r="H206"/>
      <c r="I206"/>
      <c r="J206"/>
      <c r="K206"/>
    </row>
    <row r="207" spans="8:11">
      <c r="H207"/>
      <c r="I207"/>
      <c r="J207"/>
      <c r="K207"/>
    </row>
    <row r="208" spans="8:11">
      <c r="H208"/>
      <c r="I208"/>
      <c r="J208"/>
      <c r="K208"/>
    </row>
    <row r="209" spans="8:11">
      <c r="H209"/>
      <c r="I209"/>
      <c r="J209"/>
      <c r="K209"/>
    </row>
    <row r="210" spans="8:11">
      <c r="H210"/>
      <c r="I210"/>
      <c r="J210"/>
      <c r="K210"/>
    </row>
    <row r="211" spans="8:11">
      <c r="H211"/>
      <c r="I211"/>
      <c r="J211"/>
      <c r="K211"/>
    </row>
    <row r="212" spans="8:11">
      <c r="H212"/>
      <c r="I212"/>
      <c r="J212"/>
      <c r="K212"/>
    </row>
    <row r="213" spans="8:11">
      <c r="H213"/>
      <c r="I213"/>
      <c r="J213"/>
      <c r="K213"/>
    </row>
    <row r="214" spans="8:11">
      <c r="H214"/>
      <c r="I214"/>
      <c r="J214"/>
      <c r="K214"/>
    </row>
    <row r="215" spans="8:11">
      <c r="H215"/>
      <c r="I215"/>
      <c r="J215"/>
      <c r="K215"/>
    </row>
    <row r="216" spans="8:11">
      <c r="H216"/>
      <c r="I216"/>
      <c r="J216"/>
      <c r="K216"/>
    </row>
    <row r="217" spans="8:11">
      <c r="H217"/>
      <c r="I217"/>
      <c r="J217"/>
      <c r="K217"/>
    </row>
    <row r="218" spans="8:11">
      <c r="H218"/>
      <c r="I218"/>
      <c r="J218"/>
      <c r="K218"/>
    </row>
    <row r="219" spans="8:11">
      <c r="H219"/>
      <c r="I219"/>
      <c r="J219"/>
      <c r="K219"/>
    </row>
    <row r="220" spans="8:11">
      <c r="H220"/>
      <c r="I220"/>
      <c r="J220"/>
      <c r="K220"/>
    </row>
    <row r="221" spans="8:11">
      <c r="H221"/>
      <c r="I221"/>
      <c r="J221"/>
      <c r="K221"/>
    </row>
    <row r="222" spans="8:11">
      <c r="H222"/>
      <c r="I222"/>
      <c r="J222"/>
      <c r="K222"/>
    </row>
    <row r="223" spans="8:11">
      <c r="H223"/>
      <c r="I223"/>
      <c r="J223"/>
      <c r="K223"/>
    </row>
    <row r="224" spans="8:11">
      <c r="H224"/>
      <c r="I224"/>
      <c r="J224"/>
      <c r="K224"/>
    </row>
    <row r="225" spans="8:11">
      <c r="H225"/>
      <c r="I225"/>
      <c r="J225"/>
      <c r="K225"/>
    </row>
    <row r="226" spans="8:11">
      <c r="H226"/>
      <c r="I226"/>
      <c r="J226"/>
      <c r="K226"/>
    </row>
    <row r="227" spans="8:11">
      <c r="H227"/>
      <c r="I227"/>
      <c r="J227"/>
      <c r="K227"/>
    </row>
    <row r="228" spans="8:11">
      <c r="H228"/>
      <c r="I228"/>
      <c r="J228"/>
      <c r="K228"/>
    </row>
    <row r="229" spans="8:11">
      <c r="H229"/>
      <c r="I229"/>
      <c r="J229"/>
      <c r="K229"/>
    </row>
    <row r="230" spans="8:11">
      <c r="H230"/>
      <c r="I230"/>
      <c r="J230"/>
      <c r="K230"/>
    </row>
    <row r="231" spans="8:11">
      <c r="H231"/>
      <c r="I231"/>
      <c r="J231"/>
      <c r="K231"/>
    </row>
    <row r="232" spans="8:11">
      <c r="H232"/>
      <c r="I232"/>
      <c r="J232"/>
      <c r="K232"/>
    </row>
    <row r="233" spans="8:11">
      <c r="H233"/>
      <c r="I233"/>
      <c r="J233"/>
      <c r="K233"/>
    </row>
    <row r="234" spans="8:11">
      <c r="H234"/>
      <c r="I234"/>
      <c r="J234"/>
      <c r="K234"/>
    </row>
    <row r="235" spans="8:11">
      <c r="H235"/>
      <c r="I235"/>
      <c r="J235"/>
      <c r="K235"/>
    </row>
    <row r="236" spans="8:11">
      <c r="H236"/>
      <c r="I236"/>
      <c r="J236"/>
      <c r="K236"/>
    </row>
    <row r="237" spans="8:11">
      <c r="H237"/>
      <c r="I237"/>
      <c r="J237"/>
      <c r="K237"/>
    </row>
    <row r="238" spans="8:11">
      <c r="H238"/>
      <c r="I238"/>
      <c r="J238"/>
      <c r="K238"/>
    </row>
    <row r="239" spans="8:11">
      <c r="H239"/>
      <c r="I239"/>
      <c r="J239"/>
      <c r="K239"/>
    </row>
    <row r="240" spans="8:11">
      <c r="H240"/>
      <c r="I240"/>
      <c r="J240"/>
      <c r="K240"/>
    </row>
    <row r="241" spans="8:11">
      <c r="H241"/>
      <c r="I241"/>
      <c r="J241"/>
      <c r="K241"/>
    </row>
    <row r="242" spans="8:11">
      <c r="H242"/>
      <c r="I242"/>
      <c r="J242"/>
      <c r="K242"/>
    </row>
    <row r="243" spans="8:11">
      <c r="H243"/>
      <c r="I243"/>
      <c r="J243"/>
      <c r="K243"/>
    </row>
    <row r="244" spans="8:11">
      <c r="H244"/>
      <c r="I244"/>
      <c r="J244"/>
      <c r="K244"/>
    </row>
    <row r="245" spans="8:11">
      <c r="H245"/>
      <c r="I245"/>
      <c r="J245"/>
      <c r="K245"/>
    </row>
    <row r="246" spans="8:11">
      <c r="H246"/>
      <c r="I246"/>
      <c r="J246"/>
      <c r="K246"/>
    </row>
  </sheetData>
  <mergeCells count="19">
    <mergeCell ref="F2:F3"/>
    <mergeCell ref="G2:G3"/>
    <mergeCell ref="B2:B3"/>
    <mergeCell ref="A2:A3"/>
    <mergeCell ref="C2:D3"/>
    <mergeCell ref="B25:J25"/>
    <mergeCell ref="A1:K1"/>
    <mergeCell ref="B28:J28"/>
    <mergeCell ref="B14:J14"/>
    <mergeCell ref="B11:J11"/>
    <mergeCell ref="B7:J7"/>
    <mergeCell ref="B5:J5"/>
    <mergeCell ref="K2:K3"/>
    <mergeCell ref="E2:E3"/>
    <mergeCell ref="I2:I3"/>
    <mergeCell ref="J2:J3"/>
    <mergeCell ref="H2:H3"/>
    <mergeCell ref="A4:D4"/>
    <mergeCell ref="E4:J4"/>
  </mergeCells>
  <phoneticPr fontId="7" type="noConversion"/>
  <conditionalFormatting sqref="C17:C18 C26:C27 I29:K33 C29:C33 I9:J10 C8:C10 I12:J13 C15 I6:J6 C12:C13 C6 C21:C23">
    <cfRule type="expression" dxfId="125" priority="529" stopIfTrue="1">
      <formula>$D6=1</formula>
    </cfRule>
    <cfRule type="expression" dxfId="124" priority="530" stopIfTrue="1">
      <formula>OR($D6=0,$D6=2,$D6=3,$D6=4)</formula>
    </cfRule>
  </conditionalFormatting>
  <conditionalFormatting sqref="E31:E32 D29:D32 D17:D18 B17:B18 B21:B23 D20:E23 E10 E26 D15:E16 D8:D10 A29:B33 D8:E9 D6 D33:E33 E29 D12:E13 D26:D27 B26:B27 B15 B12:B13 B6 B8:B10">
    <cfRule type="expression" dxfId="123" priority="524" stopIfTrue="1">
      <formula>$D6=1</formula>
    </cfRule>
    <cfRule type="expression" dxfId="122" priority="525" stopIfTrue="1">
      <formula>OR($D6=0,$D6=2,$D6=3,$D6=4)</formula>
    </cfRule>
  </conditionalFormatting>
  <conditionalFormatting sqref="E6">
    <cfRule type="expression" dxfId="121" priority="520" stopIfTrue="1">
      <formula>$D6=1</formula>
    </cfRule>
    <cfRule type="expression" dxfId="120" priority="521" stopIfTrue="1">
      <formula>OR($D6=0,$D6=2,$D6=3,$D6=4)</formula>
    </cfRule>
  </conditionalFormatting>
  <conditionalFormatting sqref="E8:E9">
    <cfRule type="expression" dxfId="119" priority="512" stopIfTrue="1">
      <formula>$D8=1</formula>
    </cfRule>
    <cfRule type="expression" dxfId="118" priority="513" stopIfTrue="1">
      <formula>OR($D8=0,$D8=2,$D8=3,$D8=4)</formula>
    </cfRule>
  </conditionalFormatting>
  <conditionalFormatting sqref="E17">
    <cfRule type="expression" dxfId="117" priority="508" stopIfTrue="1">
      <formula>$D17=1</formula>
    </cfRule>
    <cfRule type="expression" dxfId="116" priority="509" stopIfTrue="1">
      <formula>OR($D17=0,$D17=2,$D17=3,$D17=4)</formula>
    </cfRule>
  </conditionalFormatting>
  <conditionalFormatting sqref="E18">
    <cfRule type="expression" dxfId="115" priority="504" stopIfTrue="1">
      <formula>$D18=1</formula>
    </cfRule>
    <cfRule type="expression" dxfId="114" priority="505" stopIfTrue="1">
      <formula>OR($D18=0,$D18=2,$D18=3,$D18=4)</formula>
    </cfRule>
  </conditionalFormatting>
  <conditionalFormatting sqref="E30">
    <cfRule type="expression" dxfId="113" priority="500" stopIfTrue="1">
      <formula>$D30=1</formula>
    </cfRule>
    <cfRule type="expression" dxfId="112" priority="501" stopIfTrue="1">
      <formula>OR($D30=0,$D30=2,$D30=3,$D30=4)</formula>
    </cfRule>
  </conditionalFormatting>
  <conditionalFormatting sqref="E27">
    <cfRule type="expression" dxfId="111" priority="496" stopIfTrue="1">
      <formula>$D27=1</formula>
    </cfRule>
    <cfRule type="expression" dxfId="110" priority="497" stopIfTrue="1">
      <formula>OR($D27=0,$D27=2,$D27=3,$D27=4)</formula>
    </cfRule>
  </conditionalFormatting>
  <conditionalFormatting sqref="C16">
    <cfRule type="expression" dxfId="109" priority="494" stopIfTrue="1">
      <formula>$D16=1</formula>
    </cfRule>
    <cfRule type="expression" dxfId="108" priority="495" stopIfTrue="1">
      <formula>OR($D16=0,$D16=2,$D16=3,$D16=4)</formula>
    </cfRule>
  </conditionalFormatting>
  <conditionalFormatting sqref="B16">
    <cfRule type="expression" dxfId="107" priority="489" stopIfTrue="1">
      <formula>$D16=1</formula>
    </cfRule>
    <cfRule type="expression" dxfId="106" priority="490" stopIfTrue="1">
      <formula>OR($D16=0,$D16=2,$D16=3,$D16=4)</formula>
    </cfRule>
  </conditionalFormatting>
  <conditionalFormatting sqref="C20">
    <cfRule type="expression" dxfId="105" priority="481" stopIfTrue="1">
      <formula>$D20=1</formula>
    </cfRule>
    <cfRule type="expression" dxfId="104" priority="482" stopIfTrue="1">
      <formula>OR($D20=0,$D20=2,$D20=3,$D20=4)</formula>
    </cfRule>
  </conditionalFormatting>
  <conditionalFormatting sqref="B20">
    <cfRule type="expression" dxfId="103" priority="476" stopIfTrue="1">
      <formula>$D20=1</formula>
    </cfRule>
    <cfRule type="expression" dxfId="102" priority="477" stopIfTrue="1">
      <formula>OR($D20=0,$D20=2,$D20=3,$D20=4)</formula>
    </cfRule>
  </conditionalFormatting>
  <conditionalFormatting sqref="A5">
    <cfRule type="expression" dxfId="101" priority="458" stopIfTrue="1">
      <formula>$D5=1</formula>
    </cfRule>
    <cfRule type="expression" dxfId="100" priority="459" stopIfTrue="1">
      <formula>OR($D5=0,$D5=2,$D5=3,$D5=4)</formula>
    </cfRule>
  </conditionalFormatting>
  <conditionalFormatting sqref="A6 A10 A12:A13 A26:A27 A15:A23">
    <cfRule type="expression" dxfId="99" priority="464" stopIfTrue="1">
      <formula>$D6=1</formula>
    </cfRule>
    <cfRule type="expression" dxfId="98" priority="465" stopIfTrue="1">
      <formula>OR($D6=0,$D6=2,$D6=3,$D6=4)</formula>
    </cfRule>
  </conditionalFormatting>
  <conditionalFormatting sqref="A7:A9">
    <cfRule type="expression" dxfId="97" priority="456" stopIfTrue="1">
      <formula>$D7=1</formula>
    </cfRule>
    <cfRule type="expression" dxfId="96" priority="457" stopIfTrue="1">
      <formula>OR($D7=0,$D7=2,$D7=3,$D7=4)</formula>
    </cfRule>
  </conditionalFormatting>
  <conditionalFormatting sqref="A14">
    <cfRule type="expression" dxfId="95" priority="454" stopIfTrue="1">
      <formula>$D14=1</formula>
    </cfRule>
    <cfRule type="expression" dxfId="94" priority="455" stopIfTrue="1">
      <formula>OR($D14=0,$D14=2,$D14=3,$D14=4)</formula>
    </cfRule>
  </conditionalFormatting>
  <conditionalFormatting sqref="A11">
    <cfRule type="expression" dxfId="93" priority="452" stopIfTrue="1">
      <formula>$D11=1</formula>
    </cfRule>
    <cfRule type="expression" dxfId="92" priority="453" stopIfTrue="1">
      <formula>OR($D11=0,$D11=2,$D11=3,$D11=4)</formula>
    </cfRule>
  </conditionalFormatting>
  <conditionalFormatting sqref="A25">
    <cfRule type="expression" dxfId="91" priority="450" stopIfTrue="1">
      <formula>$D25=1</formula>
    </cfRule>
    <cfRule type="expression" dxfId="90" priority="451" stopIfTrue="1">
      <formula>OR($D25=0,$D25=2,$D25=3,$D25=4)</formula>
    </cfRule>
  </conditionalFormatting>
  <conditionalFormatting sqref="A28">
    <cfRule type="expression" dxfId="89" priority="448" stopIfTrue="1">
      <formula>$D28=1</formula>
    </cfRule>
    <cfRule type="expression" dxfId="88" priority="449" stopIfTrue="1">
      <formula>OR($D28=0,$D28=2,$D28=3,$D28=4)</formula>
    </cfRule>
  </conditionalFormatting>
  <conditionalFormatting sqref="D19:E19">
    <cfRule type="expression" dxfId="87" priority="435" stopIfTrue="1">
      <formula>$D19=1</formula>
    </cfRule>
    <cfRule type="expression" dxfId="86" priority="436" stopIfTrue="1">
      <formula>OR($D19=0,$D19=2,$D19=3,$D19=4)</formula>
    </cfRule>
  </conditionalFormatting>
  <conditionalFormatting sqref="C19">
    <cfRule type="expression" dxfId="85" priority="433" stopIfTrue="1">
      <formula>$D19=1</formula>
    </cfRule>
    <cfRule type="expression" dxfId="84" priority="434" stopIfTrue="1">
      <formula>OR($D19=0,$D19=2,$D19=3,$D19=4)</formula>
    </cfRule>
  </conditionalFormatting>
  <conditionalFormatting sqref="B19">
    <cfRule type="expression" dxfId="83" priority="431" stopIfTrue="1">
      <formula>$D19=1</formula>
    </cfRule>
    <cfRule type="expression" dxfId="82" priority="432" stopIfTrue="1">
      <formula>OR($D19=0,$D19=2,$D19=3,$D19=4)</formula>
    </cfRule>
  </conditionalFormatting>
  <conditionalFormatting sqref="A24">
    <cfRule type="expression" dxfId="81" priority="418" stopIfTrue="1">
      <formula>$D24=1</formula>
    </cfRule>
    <cfRule type="expression" dxfId="80" priority="419" stopIfTrue="1">
      <formula>OR($D24=0,$D24=2,$D24=3,$D24=4)</formula>
    </cfRule>
  </conditionalFormatting>
  <conditionalFormatting sqref="C24">
    <cfRule type="expression" dxfId="79" priority="425" stopIfTrue="1">
      <formula>$D24=1</formula>
    </cfRule>
    <cfRule type="expression" dxfId="78" priority="426" stopIfTrue="1">
      <formula>OR($D24=0,$D24=2,$D24=3,$D24=4)</formula>
    </cfRule>
  </conditionalFormatting>
  <conditionalFormatting sqref="B24 D24:E24">
    <cfRule type="expression" dxfId="77" priority="420" stopIfTrue="1">
      <formula>$D24=1</formula>
    </cfRule>
    <cfRule type="expression" dxfId="76" priority="421" stopIfTrue="1">
      <formula>OR($D24=0,$D24=2,$D24=3,$D24=4)</formula>
    </cfRule>
  </conditionalFormatting>
  <conditionalFormatting sqref="K25 K14 K5:K11 K28">
    <cfRule type="expression" dxfId="75" priority="403" stopIfTrue="1">
      <formula>$D5=1</formula>
    </cfRule>
    <cfRule type="expression" dxfId="74" priority="404" stopIfTrue="1">
      <formula>OR($D5=0,$D5=2,$D5=3,$D5=4)</formula>
    </cfRule>
  </conditionalFormatting>
  <conditionalFormatting sqref="K28">
    <cfRule type="expression" dxfId="73" priority="399" stopIfTrue="1">
      <formula>$D28=1</formula>
    </cfRule>
    <cfRule type="expression" dxfId="72" priority="400" stopIfTrue="1">
      <formula>OR($D28=0,$D28=2,$D28=3,$D28=4)</formula>
    </cfRule>
  </conditionalFormatting>
  <conditionalFormatting sqref="K28">
    <cfRule type="expression" dxfId="71" priority="397" stopIfTrue="1">
      <formula>$D28=1</formula>
    </cfRule>
    <cfRule type="expression" dxfId="70" priority="398" stopIfTrue="1">
      <formula>OR($D28=0,$D28=2,$D28=3,$D28=4)</formula>
    </cfRule>
  </conditionalFormatting>
  <conditionalFormatting sqref="I10:J10 I12:J13">
    <cfRule type="expression" dxfId="69" priority="353" stopIfTrue="1">
      <formula>$D10=1</formula>
    </cfRule>
    <cfRule type="expression" dxfId="68" priority="354" stopIfTrue="1">
      <formula>OR($D10=0,$D10=2,$D10=3,$D10=4)</formula>
    </cfRule>
  </conditionalFormatting>
  <conditionalFormatting sqref="K10">
    <cfRule type="expression" dxfId="67" priority="351" stopIfTrue="1">
      <formula>$D10=1</formula>
    </cfRule>
    <cfRule type="expression" dxfId="66" priority="352" stopIfTrue="1">
      <formula>OR($D10=0,$D10=2,$D10=3,$D10=4)</formula>
    </cfRule>
  </conditionalFormatting>
  <conditionalFormatting sqref="I12:J13">
    <cfRule type="expression" dxfId="65" priority="349" stopIfTrue="1">
      <formula>$D12=1</formula>
    </cfRule>
    <cfRule type="expression" dxfId="64" priority="350" stopIfTrue="1">
      <formula>OR($D12=0,$D12=2,$D12=3,$D12=4)</formula>
    </cfRule>
  </conditionalFormatting>
  <conditionalFormatting sqref="K12">
    <cfRule type="expression" dxfId="63" priority="347" stopIfTrue="1">
      <formula>$D12=1</formula>
    </cfRule>
    <cfRule type="expression" dxfId="62" priority="348" stopIfTrue="1">
      <formula>OR($D12=0,$D12=2,$D12=3,$D12=4)</formula>
    </cfRule>
  </conditionalFormatting>
  <conditionalFormatting sqref="I13:J13">
    <cfRule type="expression" dxfId="61" priority="345" stopIfTrue="1">
      <formula>$D13=1</formula>
    </cfRule>
    <cfRule type="expression" dxfId="60" priority="346" stopIfTrue="1">
      <formula>OR($D13=0,$D13=2,$D13=3,$D13=4)</formula>
    </cfRule>
  </conditionalFormatting>
  <conditionalFormatting sqref="K13">
    <cfRule type="expression" dxfId="59" priority="343" stopIfTrue="1">
      <formula>$D13=1</formula>
    </cfRule>
    <cfRule type="expression" dxfId="58" priority="344" stopIfTrue="1">
      <formula>OR($D13=0,$D13=2,$D13=3,$D13=4)</formula>
    </cfRule>
  </conditionalFormatting>
  <conditionalFormatting sqref="I15:J24 I26:J27">
    <cfRule type="expression" dxfId="57" priority="341" stopIfTrue="1">
      <formula>$D15=1</formula>
    </cfRule>
    <cfRule type="expression" dxfId="56" priority="342" stopIfTrue="1">
      <formula>OR($D15=0,$D15=2,$D15=3,$D15=4)</formula>
    </cfRule>
  </conditionalFormatting>
  <conditionalFormatting sqref="K15:K24">
    <cfRule type="expression" dxfId="55" priority="339" stopIfTrue="1">
      <formula>$D15=1</formula>
    </cfRule>
    <cfRule type="expression" dxfId="54" priority="340" stopIfTrue="1">
      <formula>OR($D15=0,$D15=2,$D15=3,$D15=4)</formula>
    </cfRule>
  </conditionalFormatting>
  <conditionalFormatting sqref="I26:J27">
    <cfRule type="expression" dxfId="53" priority="337" stopIfTrue="1">
      <formula>$D26=1</formula>
    </cfRule>
    <cfRule type="expression" dxfId="52" priority="338" stopIfTrue="1">
      <formula>OR($D26=0,$D26=2,$D26=3,$D26=4)</formula>
    </cfRule>
  </conditionalFormatting>
  <conditionalFormatting sqref="K26:K27">
    <cfRule type="expression" dxfId="51" priority="335" stopIfTrue="1">
      <formula>$D26=1</formula>
    </cfRule>
    <cfRule type="expression" dxfId="50" priority="336" stopIfTrue="1">
      <formula>OR($D26=0,$D26=2,$D26=3,$D26=4)</formula>
    </cfRule>
  </conditionalFormatting>
  <conditionalFormatting sqref="A8:A9">
    <cfRule type="expression" dxfId="49" priority="79" stopIfTrue="1">
      <formula>$D8=1</formula>
    </cfRule>
    <cfRule type="expression" dxfId="48" priority="80" stopIfTrue="1">
      <formula>OR($D8=0,$D8=2,$D8=3,$D8=4)</formula>
    </cfRule>
  </conditionalFormatting>
  <conditionalFormatting sqref="I9:J10 I12:J13">
    <cfRule type="expression" dxfId="47" priority="77" stopIfTrue="1">
      <formula>$D9=1</formula>
    </cfRule>
    <cfRule type="expression" dxfId="46" priority="78" stopIfTrue="1">
      <formula>OR($D9=0,$D9=2,$D9=3,$D9=4)</formula>
    </cfRule>
  </conditionalFormatting>
  <conditionalFormatting sqref="K8:K10">
    <cfRule type="expression" dxfId="45" priority="75" stopIfTrue="1">
      <formula>$D8=1</formula>
    </cfRule>
    <cfRule type="expression" dxfId="44" priority="76" stopIfTrue="1">
      <formula>OR($D8=0,$D8=2,$D8=3,$D8=4)</formula>
    </cfRule>
  </conditionalFormatting>
  <conditionalFormatting sqref="I12:I13 I8:I10 I6">
    <cfRule type="expression" dxfId="43" priority="73" stopIfTrue="1">
      <formula>$D6=1</formula>
    </cfRule>
    <cfRule type="expression" dxfId="42" priority="74" stopIfTrue="1">
      <formula>OR($D6=0,$D6=2,$D6=3,$D6=4)</formula>
    </cfRule>
  </conditionalFormatting>
  <conditionalFormatting sqref="J12:J13 J8:J10 J6">
    <cfRule type="expression" dxfId="41" priority="55" stopIfTrue="1">
      <formula>$D6=1</formula>
    </cfRule>
    <cfRule type="expression" dxfId="40" priority="56" stopIfTrue="1">
      <formula>OR($D6=0,$D6=2,$D6=3,$D6=4)</formula>
    </cfRule>
  </conditionalFormatting>
  <conditionalFormatting sqref="I10 I12:I13">
    <cfRule type="expression" dxfId="39" priority="67" stopIfTrue="1">
      <formula>$D10=1</formula>
    </cfRule>
    <cfRule type="expression" dxfId="38" priority="68" stopIfTrue="1">
      <formula>OR($D10=0,$D10=2,$D10=3,$D10=4)</formula>
    </cfRule>
  </conditionalFormatting>
  <conditionalFormatting sqref="I12:I13">
    <cfRule type="expression" dxfId="37" priority="65" stopIfTrue="1">
      <formula>$D12=1</formula>
    </cfRule>
    <cfRule type="expression" dxfId="36" priority="66" stopIfTrue="1">
      <formula>OR($D12=0,$D12=2,$D12=3,$D12=4)</formula>
    </cfRule>
  </conditionalFormatting>
  <conditionalFormatting sqref="I13">
    <cfRule type="expression" dxfId="35" priority="63" stopIfTrue="1">
      <formula>$D13=1</formula>
    </cfRule>
    <cfRule type="expression" dxfId="34" priority="64" stopIfTrue="1">
      <formula>OR($D13=0,$D13=2,$D13=3,$D13=4)</formula>
    </cfRule>
  </conditionalFormatting>
  <conditionalFormatting sqref="I15:I24 I26:I27">
    <cfRule type="expression" dxfId="33" priority="61" stopIfTrue="1">
      <formula>$D15=1</formula>
    </cfRule>
    <cfRule type="expression" dxfId="32" priority="62" stopIfTrue="1">
      <formula>OR($D15=0,$D15=2,$D15=3,$D15=4)</formula>
    </cfRule>
  </conditionalFormatting>
  <conditionalFormatting sqref="I26:I27">
    <cfRule type="expression" dxfId="31" priority="59" stopIfTrue="1">
      <formula>$D26=1</formula>
    </cfRule>
    <cfRule type="expression" dxfId="30" priority="60" stopIfTrue="1">
      <formula>OR($D26=0,$D26=2,$D26=3,$D26=4)</formula>
    </cfRule>
  </conditionalFormatting>
  <conditionalFormatting sqref="I8:I10 I12:I13">
    <cfRule type="expression" dxfId="29" priority="57" stopIfTrue="1">
      <formula>$D8=1</formula>
    </cfRule>
    <cfRule type="expression" dxfId="28" priority="58" stopIfTrue="1">
      <formula>OR($D8=0,$D8=2,$D8=3,$D8=4)</formula>
    </cfRule>
  </conditionalFormatting>
  <conditionalFormatting sqref="J10 J12:J13">
    <cfRule type="expression" dxfId="27" priority="49" stopIfTrue="1">
      <formula>$D10=1</formula>
    </cfRule>
    <cfRule type="expression" dxfId="26" priority="50" stopIfTrue="1">
      <formula>OR($D10=0,$D10=2,$D10=3,$D10=4)</formula>
    </cfRule>
  </conditionalFormatting>
  <conditionalFormatting sqref="J12:J13">
    <cfRule type="expression" dxfId="25" priority="47" stopIfTrue="1">
      <formula>$D12=1</formula>
    </cfRule>
    <cfRule type="expression" dxfId="24" priority="48" stopIfTrue="1">
      <formula>OR($D12=0,$D12=2,$D12=3,$D12=4)</formula>
    </cfRule>
  </conditionalFormatting>
  <conditionalFormatting sqref="J13">
    <cfRule type="expression" dxfId="23" priority="45" stopIfTrue="1">
      <formula>$D13=1</formula>
    </cfRule>
    <cfRule type="expression" dxfId="22" priority="46" stopIfTrue="1">
      <formula>OR($D13=0,$D13=2,$D13=3,$D13=4)</formula>
    </cfRule>
  </conditionalFormatting>
  <conditionalFormatting sqref="J15:J24 J26:J27">
    <cfRule type="expression" dxfId="21" priority="43" stopIfTrue="1">
      <formula>$D15=1</formula>
    </cfRule>
    <cfRule type="expression" dxfId="20" priority="44" stopIfTrue="1">
      <formula>OR($D15=0,$D15=2,$D15=3,$D15=4)</formula>
    </cfRule>
  </conditionalFormatting>
  <conditionalFormatting sqref="J26:J27">
    <cfRule type="expression" dxfId="19" priority="41" stopIfTrue="1">
      <formula>$D26=1</formula>
    </cfRule>
    <cfRule type="expression" dxfId="18" priority="42" stopIfTrue="1">
      <formula>OR($D26=0,$D26=2,$D26=3,$D26=4)</formula>
    </cfRule>
  </conditionalFormatting>
  <conditionalFormatting sqref="J8:J10 J12:J13">
    <cfRule type="expression" dxfId="17" priority="39" stopIfTrue="1">
      <formula>$D8=1</formula>
    </cfRule>
    <cfRule type="expression" dxfId="16" priority="40" stopIfTrue="1">
      <formula>OR($D8=0,$D8=2,$D8=3,$D8=4)</formula>
    </cfRule>
  </conditionalFormatting>
  <conditionalFormatting sqref="K14">
    <cfRule type="expression" dxfId="15" priority="15" stopIfTrue="1">
      <formula>$D14=1</formula>
    </cfRule>
    <cfRule type="expression" dxfId="14" priority="16" stopIfTrue="1">
      <formula>OR($D14=0,$D14=2,$D14=3,$D14=4)</formula>
    </cfRule>
  </conditionalFormatting>
  <conditionalFormatting sqref="K14">
    <cfRule type="expression" dxfId="13" priority="13" stopIfTrue="1">
      <formula>$D14=1</formula>
    </cfRule>
    <cfRule type="expression" dxfId="12" priority="14" stopIfTrue="1">
      <formula>OR($D14=0,$D14=2,$D14=3,$D14=4)</formula>
    </cfRule>
  </conditionalFormatting>
  <conditionalFormatting sqref="K11">
    <cfRule type="expression" dxfId="11" priority="11" stopIfTrue="1">
      <formula>$D11=1</formula>
    </cfRule>
    <cfRule type="expression" dxfId="10" priority="12" stopIfTrue="1">
      <formula>OR($D11=0,$D11=2,$D11=3,$D11=4)</formula>
    </cfRule>
  </conditionalFormatting>
  <conditionalFormatting sqref="K5">
    <cfRule type="expression" dxfId="9" priority="1" stopIfTrue="1">
      <formula>$D5=1</formula>
    </cfRule>
    <cfRule type="expression" dxfId="8" priority="2" stopIfTrue="1">
      <formula>OR($D5=0,$D5=2,$D5=3,$D5=4)</formula>
    </cfRule>
  </conditionalFormatting>
  <conditionalFormatting sqref="K11">
    <cfRule type="expression" dxfId="7" priority="9" stopIfTrue="1">
      <formula>$D11=1</formula>
    </cfRule>
    <cfRule type="expression" dxfId="6" priority="10" stopIfTrue="1">
      <formula>OR($D11=0,$D11=2,$D11=3,$D11=4)</formula>
    </cfRule>
  </conditionalFormatting>
  <conditionalFormatting sqref="K7">
    <cfRule type="expression" dxfId="5" priority="7" stopIfTrue="1">
      <formula>$D7=1</formula>
    </cfRule>
    <cfRule type="expression" dxfId="4" priority="8" stopIfTrue="1">
      <formula>OR($D7=0,$D7=2,$D7=3,$D7=4)</formula>
    </cfRule>
  </conditionalFormatting>
  <conditionalFormatting sqref="K7">
    <cfRule type="expression" dxfId="3" priority="5" stopIfTrue="1">
      <formula>$D7=1</formula>
    </cfRule>
    <cfRule type="expression" dxfId="2" priority="6" stopIfTrue="1">
      <formula>OR($D7=0,$D7=2,$D7=3,$D7=4)</formula>
    </cfRule>
  </conditionalFormatting>
  <conditionalFormatting sqref="K5">
    <cfRule type="expression" dxfId="1" priority="3" stopIfTrue="1">
      <formula>$D5=1</formula>
    </cfRule>
    <cfRule type="expression" dxfId="0" priority="4" stopIfTrue="1">
      <formula>OR($D5=0,$D5=2,$D5=3,$D5=4)</formula>
    </cfRule>
  </conditionalFormatting>
  <dataValidations xWindow="930" yWindow="854" count="2">
    <dataValidation allowBlank="1" showInputMessage="1" showErrorMessage="1" prompt="Para Orçamento Proposto, o Preço Unitário é resultado do produto do Custo Unitário pelo BDI.&#10;Para Orçamento Licitado, deve ser preenchido na Coluna AL." sqref="F29:J33 F8:J10 F15:J24 F12:J13 K5:K33 F26:J27 F6:J6"/>
    <dataValidation allowBlank="1" showInputMessage="1" showErrorMessage="1" prompt="A entrada de quantidades é feita na coluna AJ se acompanhamento por BM, ou na aba &quot;Memória de Cálculo/PLQ&quot; se acompanhamento por PLE." sqref="E29:E33 E8:E10 E12:E13 E26:E27 E15:E24 E6"/>
  </dataValidations>
  <printOptions horizontalCentered="1"/>
  <pageMargins left="0.51181102362204722" right="0.51181102362204722" top="0.78740157480314965" bottom="0.78740157480314965" header="0.31496062992125984" footer="0.31496062992125984"/>
  <pageSetup paperSize="9" scale="65" orientation="landscape" r:id="rId1"/>
  <headerFooter>
    <oddFooter>&amp;L&amp;D&amp;RSECRETARIA DE PLANEJAMENTO - PREFEITURA DE TAQUARI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41"/>
  <sheetViews>
    <sheetView topLeftCell="A10" workbookViewId="0">
      <selection activeCell="C21" sqref="C21"/>
    </sheetView>
  </sheetViews>
  <sheetFormatPr defaultRowHeight="15"/>
  <cols>
    <col min="2" max="2" width="10.28515625" customWidth="1"/>
    <col min="4" max="4" width="13.5703125" customWidth="1"/>
    <col min="14" max="14" width="11" bestFit="1" customWidth="1"/>
    <col min="16" max="16" width="12" bestFit="1" customWidth="1"/>
  </cols>
  <sheetData>
    <row r="1" spans="1:16">
      <c r="C1" t="s">
        <v>110</v>
      </c>
    </row>
    <row r="3" spans="1:16">
      <c r="B3" s="3"/>
      <c r="C3" t="s">
        <v>106</v>
      </c>
      <c r="D3" t="s">
        <v>106</v>
      </c>
      <c r="E3" t="s">
        <v>106</v>
      </c>
      <c r="F3" t="s">
        <v>107</v>
      </c>
    </row>
    <row r="4" spans="1:16">
      <c r="B4" t="s">
        <v>103</v>
      </c>
      <c r="C4">
        <v>4.2000000000000003E-2</v>
      </c>
      <c r="D4">
        <v>2.5000000000000001E-2</v>
      </c>
      <c r="E4">
        <v>5.5E-2</v>
      </c>
      <c r="F4">
        <v>5.5E-2</v>
      </c>
    </row>
    <row r="5" spans="1:16">
      <c r="B5" t="s">
        <v>104</v>
      </c>
      <c r="C5">
        <v>6.36</v>
      </c>
      <c r="D5">
        <v>0.91</v>
      </c>
      <c r="E5">
        <f>H5*0.694643468</f>
        <v>16.532514538400001</v>
      </c>
      <c r="F5">
        <f>H5-E5</f>
        <v>7.2674854615999998</v>
      </c>
      <c r="H5">
        <v>23.8</v>
      </c>
    </row>
    <row r="6" spans="1:16">
      <c r="B6" t="s">
        <v>105</v>
      </c>
      <c r="C6">
        <f>C4*C5</f>
        <v>0.26712000000000002</v>
      </c>
      <c r="D6">
        <f>D4*D5</f>
        <v>2.2750000000000003E-2</v>
      </c>
      <c r="E6">
        <f>E4*E5</f>
        <v>0.90928829961200008</v>
      </c>
      <c r="F6">
        <f>F4*F5</f>
        <v>0.39971170038799997</v>
      </c>
    </row>
    <row r="7" spans="1:16">
      <c r="B7" t="s">
        <v>111</v>
      </c>
      <c r="C7">
        <f>SUM(C6:F6)</f>
        <v>1.59887</v>
      </c>
    </row>
    <row r="8" spans="1:16">
      <c r="B8" t="s">
        <v>108</v>
      </c>
      <c r="C8">
        <f>(C6*100)/C7</f>
        <v>16.7067991769187</v>
      </c>
      <c r="D8">
        <f>(D6*100)/C7</f>
        <v>1.4228799089356861</v>
      </c>
      <c r="E8">
        <f>(E6*100)/C7</f>
        <v>56.870683646075044</v>
      </c>
      <c r="F8">
        <f>(F6*100)/C7</f>
        <v>24.999637268070572</v>
      </c>
      <c r="H8">
        <f>SUM(C8:F8)</f>
        <v>100</v>
      </c>
    </row>
    <row r="9" spans="1:16">
      <c r="C9" t="s">
        <v>109</v>
      </c>
      <c r="D9">
        <f>SUM(C8:E8)</f>
        <v>75.000362731929428</v>
      </c>
    </row>
    <row r="12" spans="1:16">
      <c r="A12" s="42" t="s">
        <v>123</v>
      </c>
      <c r="B12" s="42"/>
      <c r="C12" s="42"/>
      <c r="D12" s="42"/>
      <c r="E12" s="42"/>
      <c r="F12" s="42"/>
      <c r="G12" s="42"/>
      <c r="H12" s="42"/>
      <c r="L12" t="s">
        <v>125</v>
      </c>
    </row>
    <row r="13" spans="1:16" ht="30">
      <c r="A13" t="s">
        <v>50</v>
      </c>
      <c r="C13" t="s">
        <v>112</v>
      </c>
      <c r="D13" t="s">
        <v>118</v>
      </c>
      <c r="E13" t="s">
        <v>117</v>
      </c>
      <c r="F13" t="s">
        <v>119</v>
      </c>
      <c r="G13" t="s">
        <v>120</v>
      </c>
      <c r="H13" t="s">
        <v>121</v>
      </c>
      <c r="M13" t="s">
        <v>112</v>
      </c>
      <c r="N13" s="17" t="s">
        <v>118</v>
      </c>
      <c r="O13" t="s">
        <v>117</v>
      </c>
      <c r="P13" t="s">
        <v>108</v>
      </c>
    </row>
    <row r="14" spans="1:16">
      <c r="A14" t="s">
        <v>51</v>
      </c>
      <c r="B14" t="s">
        <v>113</v>
      </c>
      <c r="C14">
        <v>1</v>
      </c>
      <c r="D14">
        <v>37.93</v>
      </c>
      <c r="E14">
        <f>C14*D14</f>
        <v>37.93</v>
      </c>
      <c r="F14">
        <f>E14*1</f>
        <v>37.93</v>
      </c>
      <c r="G14">
        <f t="shared" ref="G14" si="0">E14-F14</f>
        <v>0</v>
      </c>
      <c r="H14">
        <f>(F14*100)/E20</f>
        <v>57.979069448928286</v>
      </c>
      <c r="K14" t="s">
        <v>57</v>
      </c>
      <c r="L14" t="s">
        <v>48</v>
      </c>
      <c r="M14">
        <v>57.207999999999998</v>
      </c>
      <c r="N14">
        <v>2.5</v>
      </c>
      <c r="O14">
        <f>M14*N14</f>
        <v>143.01999999999998</v>
      </c>
      <c r="P14">
        <f>(O14*100)/O24</f>
        <v>13.745667555788314</v>
      </c>
    </row>
    <row r="15" spans="1:16">
      <c r="A15" t="s">
        <v>52</v>
      </c>
      <c r="B15" t="s">
        <v>114</v>
      </c>
      <c r="C15">
        <v>0.69199999999999995</v>
      </c>
      <c r="D15">
        <v>17.11</v>
      </c>
      <c r="E15">
        <f t="shared" ref="E15:E18" si="1">C15*D15</f>
        <v>11.840119999999999</v>
      </c>
      <c r="F15">
        <f>E15*0</f>
        <v>0</v>
      </c>
      <c r="G15">
        <f>E15-F15</f>
        <v>11.840119999999999</v>
      </c>
      <c r="H15">
        <v>0</v>
      </c>
      <c r="K15" t="s">
        <v>54</v>
      </c>
      <c r="L15" t="s">
        <v>48</v>
      </c>
      <c r="M15">
        <v>2.7199999999999998E-2</v>
      </c>
      <c r="N15">
        <v>100.17</v>
      </c>
      <c r="O15">
        <f t="shared" ref="O15:O18" si="2">M15*N15</f>
        <v>2.7246239999999999</v>
      </c>
      <c r="P15">
        <f>(O15*100)/O24</f>
        <v>0.26186390517775265</v>
      </c>
    </row>
    <row r="16" spans="1:16">
      <c r="A16" t="s">
        <v>53</v>
      </c>
      <c r="B16" t="s">
        <v>115</v>
      </c>
      <c r="C16">
        <v>2E-3</v>
      </c>
      <c r="D16">
        <v>519.91999999999996</v>
      </c>
      <c r="E16">
        <f t="shared" si="1"/>
        <v>1.0398399999999999</v>
      </c>
      <c r="F16">
        <f>E16*0.787547127</f>
        <v>0.81892300453967981</v>
      </c>
      <c r="G16">
        <f>E16-F16</f>
        <v>0.22091699546032006</v>
      </c>
      <c r="H16">
        <f>(F16*100)/E20</f>
        <v>1.2517899750469577</v>
      </c>
      <c r="K16" t="s">
        <v>55</v>
      </c>
      <c r="L16" t="s">
        <v>48</v>
      </c>
      <c r="M16">
        <v>9.1200000000000003E-2</v>
      </c>
      <c r="N16">
        <v>45.79</v>
      </c>
      <c r="O16">
        <f t="shared" si="2"/>
        <v>4.1760479999999998</v>
      </c>
      <c r="P16">
        <f>(O16*100)/O24</f>
        <v>0.40136042165441671</v>
      </c>
    </row>
    <row r="17" spans="1:16">
      <c r="A17" s="18">
        <v>5678</v>
      </c>
      <c r="B17" t="s">
        <v>116</v>
      </c>
      <c r="C17">
        <v>7.4999999999999997E-2</v>
      </c>
      <c r="D17">
        <v>100.17</v>
      </c>
      <c r="E17">
        <f t="shared" si="1"/>
        <v>7.5127499999999996</v>
      </c>
      <c r="F17">
        <f>E17*0.758111211</f>
        <v>5.6955000004402496</v>
      </c>
      <c r="G17">
        <f>E17-F17</f>
        <v>1.81724999955975</v>
      </c>
      <c r="H17">
        <f>(F17*100)/E20</f>
        <v>8.706031902765524</v>
      </c>
      <c r="K17" t="s">
        <v>58</v>
      </c>
      <c r="L17" t="s">
        <v>48</v>
      </c>
      <c r="M17">
        <v>3.3999999999999998E-3</v>
      </c>
      <c r="N17">
        <v>374.79</v>
      </c>
      <c r="O17">
        <f t="shared" si="2"/>
        <v>1.274286</v>
      </c>
      <c r="P17">
        <f>(O17*100)/O24</f>
        <v>0.12247176427769033</v>
      </c>
    </row>
    <row r="18" spans="1:16">
      <c r="A18">
        <v>5679</v>
      </c>
      <c r="B18" t="s">
        <v>116</v>
      </c>
      <c r="C18">
        <v>0.155</v>
      </c>
      <c r="D18">
        <v>45.79</v>
      </c>
      <c r="E18">
        <f t="shared" si="1"/>
        <v>7.0974500000000003</v>
      </c>
      <c r="F18">
        <f>E18*0.470845162</f>
        <v>3.3417999950369</v>
      </c>
      <c r="G18">
        <f>E18-F18</f>
        <v>3.7556500049631003</v>
      </c>
      <c r="H18">
        <f>(F18*100)/E20</f>
        <v>5.1082112838563836</v>
      </c>
      <c r="K18" t="s">
        <v>59</v>
      </c>
      <c r="L18" t="s">
        <v>48</v>
      </c>
      <c r="M18">
        <v>0.20780000000000001</v>
      </c>
      <c r="N18">
        <v>446.62</v>
      </c>
      <c r="O18">
        <f t="shared" si="2"/>
        <v>92.807636000000002</v>
      </c>
      <c r="P18">
        <f>(O18*100)/O24</f>
        <v>8.9197518605412647</v>
      </c>
    </row>
    <row r="19" spans="1:16">
      <c r="K19" t="s">
        <v>60</v>
      </c>
      <c r="L19" t="s">
        <v>48</v>
      </c>
      <c r="M19">
        <v>0.2326</v>
      </c>
      <c r="N19">
        <v>348.1</v>
      </c>
      <c r="O19">
        <f>M19*N19</f>
        <v>80.968060000000008</v>
      </c>
      <c r="P19">
        <f>(O19*100)/O24</f>
        <v>7.781848939988266</v>
      </c>
    </row>
    <row r="20" spans="1:16">
      <c r="B20" t="s">
        <v>105</v>
      </c>
      <c r="E20">
        <f>SUM(E14:E18)</f>
        <v>65.420159999999996</v>
      </c>
      <c r="K20" t="s">
        <v>61</v>
      </c>
      <c r="L20" t="s">
        <v>48</v>
      </c>
      <c r="M20">
        <v>0.14000000000000001</v>
      </c>
      <c r="N20">
        <v>2003.55</v>
      </c>
      <c r="O20">
        <f>M20*N20</f>
        <v>280.49700000000001</v>
      </c>
      <c r="P20">
        <f>(O20*100)/O24</f>
        <v>26.958596786435152</v>
      </c>
    </row>
    <row r="21" spans="1:16" ht="30">
      <c r="B21" s="17" t="s">
        <v>122</v>
      </c>
      <c r="C21">
        <f>SUM(H14:H18)</f>
        <v>73.045102610597155</v>
      </c>
      <c r="K21" t="s">
        <v>52</v>
      </c>
      <c r="L21" t="s">
        <v>49</v>
      </c>
      <c r="M21">
        <v>11.502000000000001</v>
      </c>
      <c r="N21">
        <v>17.11</v>
      </c>
      <c r="O21">
        <f>M21*N21</f>
        <v>196.79921999999999</v>
      </c>
      <c r="P21">
        <f>(O21*100)/O24</f>
        <v>18.914394164161983</v>
      </c>
    </row>
    <row r="22" spans="1:16">
      <c r="K22" t="s">
        <v>56</v>
      </c>
      <c r="L22" t="s">
        <v>49</v>
      </c>
      <c r="M22">
        <v>11.502000000000001</v>
      </c>
      <c r="N22">
        <v>20.71</v>
      </c>
      <c r="O22">
        <f>M22*N22</f>
        <v>238.20642000000004</v>
      </c>
      <c r="P22">
        <f>(O22*100)/O24</f>
        <v>22.894044601975146</v>
      </c>
    </row>
    <row r="23" spans="1:16">
      <c r="A23" s="42" t="s">
        <v>124</v>
      </c>
      <c r="B23" s="42"/>
      <c r="C23" s="42"/>
      <c r="D23" s="42"/>
      <c r="E23" s="42"/>
      <c r="F23" s="42"/>
      <c r="G23" s="42"/>
      <c r="H23" s="42"/>
    </row>
    <row r="24" spans="1:16">
      <c r="N24" t="s">
        <v>97</v>
      </c>
      <c r="O24">
        <f>SUM(O14:O22)</f>
        <v>1040.4732940000001</v>
      </c>
      <c r="P24">
        <f>SUM(P14:P22)</f>
        <v>99.999999999999972</v>
      </c>
    </row>
    <row r="25" spans="1:16" ht="30">
      <c r="N25" s="17" t="s">
        <v>122</v>
      </c>
      <c r="O25">
        <f>SUM(P14:P20)</f>
        <v>58.191561233862856</v>
      </c>
    </row>
    <row r="28" spans="1:16">
      <c r="L28" t="s">
        <v>127</v>
      </c>
    </row>
    <row r="29" spans="1:16" ht="30">
      <c r="K29" t="s">
        <v>50</v>
      </c>
      <c r="L29" t="s">
        <v>126</v>
      </c>
      <c r="M29" t="s">
        <v>112</v>
      </c>
      <c r="N29" s="17" t="s">
        <v>118</v>
      </c>
      <c r="O29" t="s">
        <v>117</v>
      </c>
      <c r="P29" t="s">
        <v>108</v>
      </c>
    </row>
    <row r="30" spans="1:16">
      <c r="K30" t="s">
        <v>62</v>
      </c>
      <c r="L30" t="s">
        <v>48</v>
      </c>
      <c r="M30">
        <v>2.2799999999999998</v>
      </c>
      <c r="N30">
        <v>1.64</v>
      </c>
      <c r="O30">
        <f>M30*N30</f>
        <v>3.7391999999999994</v>
      </c>
      <c r="P30">
        <f>(O30*100)/$O$40</f>
        <v>1.1056434772889496</v>
      </c>
    </row>
    <row r="31" spans="1:16">
      <c r="K31" t="s">
        <v>63</v>
      </c>
      <c r="L31" t="s">
        <v>48</v>
      </c>
      <c r="M31">
        <v>0.14000000000000001</v>
      </c>
      <c r="N31">
        <v>365.65</v>
      </c>
      <c r="O31">
        <f t="shared" ref="O31:O36" si="3">M31*N31</f>
        <v>51.191000000000003</v>
      </c>
      <c r="P31">
        <f t="shared" ref="P31:P36" si="4">(O31*100)/$O$40</f>
        <v>15.136658976759369</v>
      </c>
    </row>
    <row r="32" spans="1:16">
      <c r="K32" t="s">
        <v>64</v>
      </c>
      <c r="L32" t="s">
        <v>48</v>
      </c>
      <c r="M32">
        <v>2</v>
      </c>
      <c r="N32">
        <v>8.0399999999999991</v>
      </c>
      <c r="O32">
        <f t="shared" si="3"/>
        <v>16.079999999999998</v>
      </c>
      <c r="P32">
        <f t="shared" si="4"/>
        <v>4.7546927457226973</v>
      </c>
    </row>
    <row r="33" spans="11:16">
      <c r="K33" t="s">
        <v>65</v>
      </c>
      <c r="L33" t="s">
        <v>48</v>
      </c>
      <c r="M33">
        <v>1.2</v>
      </c>
      <c r="N33">
        <v>95.62</v>
      </c>
      <c r="O33">
        <f t="shared" si="3"/>
        <v>114.744</v>
      </c>
      <c r="P33">
        <f t="shared" si="4"/>
        <v>33.928635846716745</v>
      </c>
    </row>
    <row r="34" spans="11:16">
      <c r="K34" t="s">
        <v>60</v>
      </c>
      <c r="L34" t="s">
        <v>48</v>
      </c>
      <c r="M34">
        <v>0.15</v>
      </c>
      <c r="N34">
        <v>348.1</v>
      </c>
      <c r="O34">
        <f t="shared" si="3"/>
        <v>52.215000000000003</v>
      </c>
      <c r="P34">
        <f t="shared" si="4"/>
        <v>15.439445380467083</v>
      </c>
    </row>
    <row r="35" spans="11:16">
      <c r="K35" t="s">
        <v>56</v>
      </c>
      <c r="L35" t="s">
        <v>49</v>
      </c>
      <c r="M35">
        <v>2.65</v>
      </c>
      <c r="N35">
        <v>20.71</v>
      </c>
      <c r="O35">
        <f t="shared" si="3"/>
        <v>54.881500000000003</v>
      </c>
      <c r="P35">
        <f t="shared" si="4"/>
        <v>16.227902358481362</v>
      </c>
    </row>
    <row r="36" spans="11:16">
      <c r="K36" t="s">
        <v>52</v>
      </c>
      <c r="L36" t="s">
        <v>49</v>
      </c>
      <c r="M36">
        <v>2.65</v>
      </c>
      <c r="N36">
        <v>17.11</v>
      </c>
      <c r="O36">
        <f t="shared" si="3"/>
        <v>45.341499999999996</v>
      </c>
      <c r="P36">
        <f t="shared" si="4"/>
        <v>13.407021214563787</v>
      </c>
    </row>
    <row r="40" spans="11:16">
      <c r="N40" t="s">
        <v>97</v>
      </c>
      <c r="O40">
        <f>SUM(O30:O36)</f>
        <v>338.19220000000001</v>
      </c>
      <c r="P40">
        <f>SUM(P30:P38)</f>
        <v>99.999999999999986</v>
      </c>
    </row>
    <row r="41" spans="11:16" ht="30">
      <c r="N41" s="17" t="s">
        <v>122</v>
      </c>
      <c r="O41">
        <f>SUM(P30:P34)</f>
        <v>70.365076426954843</v>
      </c>
    </row>
  </sheetData>
  <mergeCells count="2">
    <mergeCell ref="A12:H12"/>
    <mergeCell ref="A23:H23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ORÇAMENTO</vt:lpstr>
      <vt:lpstr>Plan2</vt:lpstr>
      <vt:lpstr>Plan3</vt:lpstr>
      <vt:lpstr>Cálculo</vt:lpstr>
      <vt:lpstr>ORÇAMENTO!Area_de_impressao</vt:lpstr>
      <vt:lpstr>ORÇAMENTO!Titulos_de_impressao</vt:lpstr>
    </vt:vector>
  </TitlesOfParts>
  <Company>HP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nivea.schiavon</dc:creator>
  <cp:lastModifiedBy>asilveira</cp:lastModifiedBy>
  <cp:lastPrinted>2021-07-08T13:34:31Z</cp:lastPrinted>
  <dcterms:created xsi:type="dcterms:W3CDTF">2020-08-10T17:04:48Z</dcterms:created>
  <dcterms:modified xsi:type="dcterms:W3CDTF">2021-07-15T12:58:15Z</dcterms:modified>
</cp:coreProperties>
</file>