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815" yWindow="0" windowWidth="11910" windowHeight="9255" tabRatio="802"/>
  </bookViews>
  <sheets>
    <sheet name="1. Coleta Domiciliar" sheetId="2" r:id="rId1"/>
    <sheet name="2.Encargos Sociais" sheetId="8" r:id="rId2"/>
    <sheet name="3.CAGED" sheetId="5" r:id="rId3"/>
    <sheet name="4.BDI" sheetId="4" r:id="rId4"/>
    <sheet name="5. Depreciação" sheetId="6" r:id="rId5"/>
    <sheet name="6.Remuneração de capital" sheetId="7" r:id="rId6"/>
    <sheet name="7. Dimensionamento" sheetId="9" r:id="rId7"/>
    <sheet name="Plan1" sheetId="10" r:id="rId8"/>
  </sheets>
  <definedNames>
    <definedName name="AbaDeprec">'5. Depreciação'!$A$1</definedName>
    <definedName name="AbaRemun">'6.Remuneração de capital'!$A$1</definedName>
    <definedName name="_xlnm.Print_Area" localSheetId="0">'1. Coleta Domiciliar'!$A$8:$F$388</definedName>
    <definedName name="_xlnm.Print_Area" localSheetId="1">'2.Encargos Sociais'!$A$1:$C$36</definedName>
    <definedName name="_xlnm.Print_Titles" localSheetId="0">'1. Coleta Domiciliar'!$1:$6</definedName>
  </definedNames>
  <calcPr calcId="124519"/>
</workbook>
</file>

<file path=xl/calcChain.xml><?xml version="1.0" encoding="utf-8"?>
<calcChain xmlns="http://schemas.openxmlformats.org/spreadsheetml/2006/main">
  <c r="J16" i="10"/>
  <c r="J14"/>
  <c r="J13"/>
  <c r="J11"/>
  <c r="J10"/>
  <c r="F22"/>
  <c r="F21"/>
  <c r="F20"/>
  <c r="F19"/>
  <c r="C322" i="2" l="1"/>
  <c r="E341"/>
  <c r="F342" s="1"/>
  <c r="C336"/>
  <c r="D330"/>
  <c r="E330" s="1"/>
  <c r="C323"/>
  <c r="E319"/>
  <c r="C185"/>
  <c r="C244" s="1"/>
  <c r="D293"/>
  <c r="D291"/>
  <c r="D289"/>
  <c r="D287"/>
  <c r="D285"/>
  <c r="C285"/>
  <c r="C289" s="1"/>
  <c r="C275"/>
  <c r="E275" s="1"/>
  <c r="E274"/>
  <c r="C274"/>
  <c r="D273"/>
  <c r="C273"/>
  <c r="C268"/>
  <c r="C263"/>
  <c r="D262"/>
  <c r="D257"/>
  <c r="E257" s="1"/>
  <c r="C250"/>
  <c r="C246"/>
  <c r="C262" s="1"/>
  <c r="E262" s="1"/>
  <c r="C245"/>
  <c r="E241"/>
  <c r="E313"/>
  <c r="F314" s="1"/>
  <c r="C186"/>
  <c r="D226"/>
  <c r="E289" l="1"/>
  <c r="E273"/>
  <c r="D276" s="1"/>
  <c r="E276" s="1"/>
  <c r="F277" s="1"/>
  <c r="C287"/>
  <c r="E287" s="1"/>
  <c r="E246"/>
  <c r="D249" s="1"/>
  <c r="D294"/>
  <c r="C291"/>
  <c r="E291" s="1"/>
  <c r="C332"/>
  <c r="D322"/>
  <c r="E322" s="1"/>
  <c r="C259"/>
  <c r="C293"/>
  <c r="E293" s="1"/>
  <c r="D244"/>
  <c r="E244" s="1"/>
  <c r="E285"/>
  <c r="C26" i="5"/>
  <c r="C333" i="2" l="1"/>
  <c r="D334" s="1"/>
  <c r="E334" s="1"/>
  <c r="E335" s="1"/>
  <c r="D323"/>
  <c r="E323" s="1"/>
  <c r="E324" s="1"/>
  <c r="D325" s="1"/>
  <c r="E325" s="1"/>
  <c r="F326" s="1"/>
  <c r="D245"/>
  <c r="E245" s="1"/>
  <c r="C260"/>
  <c r="D261" s="1"/>
  <c r="E261" s="1"/>
  <c r="F295"/>
  <c r="A32"/>
  <c r="A31"/>
  <c r="A30"/>
  <c r="A22"/>
  <c r="A21"/>
  <c r="A13"/>
  <c r="D336" l="1"/>
  <c r="E336" s="1"/>
  <c r="F337" s="1"/>
  <c r="C18" i="9"/>
  <c r="C10"/>
  <c r="C11" s="1"/>
  <c r="C12" l="1"/>
  <c r="C14"/>
  <c r="C19" s="1"/>
  <c r="C21" s="1"/>
  <c r="C190" i="2"/>
  <c r="C249" s="1"/>
  <c r="E249" l="1"/>
  <c r="D250" s="1"/>
  <c r="E250" s="1"/>
  <c r="E251" s="1"/>
  <c r="D252" s="1"/>
  <c r="E252" s="1"/>
  <c r="F253" s="1"/>
  <c r="C264"/>
  <c r="E41"/>
  <c r="E40"/>
  <c r="E39"/>
  <c r="E38"/>
  <c r="E45"/>
  <c r="C265" l="1"/>
  <c r="D266" s="1"/>
  <c r="E266" s="1"/>
  <c r="E267" s="1"/>
  <c r="D268" s="1"/>
  <c r="E268" s="1"/>
  <c r="F269" s="1"/>
  <c r="C209"/>
  <c r="C204"/>
  <c r="D234"/>
  <c r="D232"/>
  <c r="D230"/>
  <c r="D228"/>
  <c r="D164" l="1"/>
  <c r="E164" s="1"/>
  <c r="E148"/>
  <c r="E149"/>
  <c r="E150"/>
  <c r="E151"/>
  <c r="E152"/>
  <c r="E153"/>
  <c r="E154"/>
  <c r="E155"/>
  <c r="E156"/>
  <c r="E147"/>
  <c r="D56" l="1"/>
  <c r="E56" s="1"/>
  <c r="D55"/>
  <c r="E55" s="1"/>
  <c r="D88"/>
  <c r="E88" s="1"/>
  <c r="C107"/>
  <c r="D57" l="1"/>
  <c r="E57" s="1"/>
  <c r="C110"/>
  <c r="D89"/>
  <c r="E89" s="1"/>
  <c r="D90" s="1"/>
  <c r="E90" s="1"/>
  <c r="C75"/>
  <c r="C72"/>
  <c r="C308" l="1"/>
  <c r="D102"/>
  <c r="A29"/>
  <c r="A28"/>
  <c r="A27"/>
  <c r="A26"/>
  <c r="A25"/>
  <c r="A24"/>
  <c r="A23"/>
  <c r="A20"/>
  <c r="A19"/>
  <c r="A18"/>
  <c r="A17"/>
  <c r="A16"/>
  <c r="A15"/>
  <c r="A14"/>
  <c r="C17" i="8"/>
  <c r="E367" i="2"/>
  <c r="E218"/>
  <c r="E210"/>
  <c r="E194"/>
  <c r="E172"/>
  <c r="E159"/>
  <c r="E138"/>
  <c r="E118"/>
  <c r="E97"/>
  <c r="E82"/>
  <c r="E63"/>
  <c r="D198"/>
  <c r="C13" i="4"/>
  <c r="C18" s="1"/>
  <c r="C376" i="2" s="1"/>
  <c r="F11" i="4"/>
  <c r="E11"/>
  <c r="D11"/>
  <c r="C14" i="8"/>
  <c r="C34" i="5"/>
  <c r="C29"/>
  <c r="C28" i="8" s="1"/>
  <c r="C28" i="5"/>
  <c r="C113" i="2"/>
  <c r="C104"/>
  <c r="D101"/>
  <c r="D107" s="1"/>
  <c r="E107" s="1"/>
  <c r="E86"/>
  <c r="D125" s="1"/>
  <c r="C125"/>
  <c r="C306"/>
  <c r="E306" s="1"/>
  <c r="C226"/>
  <c r="D235"/>
  <c r="E182"/>
  <c r="D185" s="1"/>
  <c r="D203"/>
  <c r="C191"/>
  <c r="C69"/>
  <c r="D67"/>
  <c r="C365"/>
  <c r="E365" s="1"/>
  <c r="D366" s="1"/>
  <c r="E366" s="1"/>
  <c r="C187"/>
  <c r="C203" s="1"/>
  <c r="C124"/>
  <c r="A38"/>
  <c r="A39"/>
  <c r="A40"/>
  <c r="A41"/>
  <c r="A45"/>
  <c r="E54"/>
  <c r="D124" s="1"/>
  <c r="C77"/>
  <c r="A130"/>
  <c r="A136" s="1"/>
  <c r="A131"/>
  <c r="A137" s="1"/>
  <c r="E157"/>
  <c r="D165"/>
  <c r="E165" s="1"/>
  <c r="D166"/>
  <c r="E166" s="1"/>
  <c r="D167"/>
  <c r="E167" s="1"/>
  <c r="D168"/>
  <c r="E168" s="1"/>
  <c r="D169"/>
  <c r="E169" s="1"/>
  <c r="E170"/>
  <c r="C214"/>
  <c r="D214"/>
  <c r="E304"/>
  <c r="C216"/>
  <c r="E216" s="1"/>
  <c r="C215"/>
  <c r="E215" s="1"/>
  <c r="E351"/>
  <c r="E354"/>
  <c r="E355"/>
  <c r="E352"/>
  <c r="E353"/>
  <c r="D113"/>
  <c r="D92" l="1"/>
  <c r="E92" s="1"/>
  <c r="C228"/>
  <c r="E228" s="1"/>
  <c r="E226"/>
  <c r="C27" i="8"/>
  <c r="G28" i="5"/>
  <c r="C39"/>
  <c r="E37"/>
  <c r="D37" s="1"/>
  <c r="D38" s="1"/>
  <c r="C38" s="1"/>
  <c r="C24" i="8" s="1"/>
  <c r="C32" s="1"/>
  <c r="D75" i="2"/>
  <c r="E75" s="1"/>
  <c r="D70"/>
  <c r="E70" s="1"/>
  <c r="E101"/>
  <c r="D105"/>
  <c r="E105" s="1"/>
  <c r="D108"/>
  <c r="E108" s="1"/>
  <c r="D110"/>
  <c r="E110" s="1"/>
  <c r="D104"/>
  <c r="E104" s="1"/>
  <c r="D73"/>
  <c r="E73" s="1"/>
  <c r="D72"/>
  <c r="E72" s="1"/>
  <c r="C232"/>
  <c r="E232" s="1"/>
  <c r="D69"/>
  <c r="E69" s="1"/>
  <c r="E113"/>
  <c r="C234"/>
  <c r="E234" s="1"/>
  <c r="C200"/>
  <c r="F356"/>
  <c r="F358" s="1"/>
  <c r="E30" s="1"/>
  <c r="C131"/>
  <c r="E131" s="1"/>
  <c r="E67"/>
  <c r="E187"/>
  <c r="C205" s="1"/>
  <c r="D158"/>
  <c r="C130"/>
  <c r="E130" s="1"/>
  <c r="C158"/>
  <c r="E42"/>
  <c r="C136"/>
  <c r="E136" s="1"/>
  <c r="E124"/>
  <c r="E203"/>
  <c r="C137"/>
  <c r="E137" s="1"/>
  <c r="D58"/>
  <c r="E58" s="1"/>
  <c r="E59" s="1"/>
  <c r="D60" s="1"/>
  <c r="C171"/>
  <c r="C230"/>
  <c r="E230" s="1"/>
  <c r="C299"/>
  <c r="E299" s="1"/>
  <c r="F300" s="1"/>
  <c r="E363"/>
  <c r="D364" s="1"/>
  <c r="E364" s="1"/>
  <c r="F367" s="1"/>
  <c r="E198"/>
  <c r="D307"/>
  <c r="E307" s="1"/>
  <c r="D308" s="1"/>
  <c r="E308" s="1"/>
  <c r="E214"/>
  <c r="D217" s="1"/>
  <c r="E217" s="1"/>
  <c r="F218" s="1"/>
  <c r="E26" s="1"/>
  <c r="E125"/>
  <c r="E185"/>
  <c r="D186" s="1"/>
  <c r="E186" s="1"/>
  <c r="D171"/>
  <c r="E93"/>
  <c r="E28" l="1"/>
  <c r="F369"/>
  <c r="E31" s="1"/>
  <c r="E158"/>
  <c r="F159" s="1"/>
  <c r="F309"/>
  <c r="E29" s="1"/>
  <c r="C26" i="8"/>
  <c r="C25"/>
  <c r="K35" i="5"/>
  <c r="K36" s="1"/>
  <c r="K37" s="1"/>
  <c r="K38" s="1"/>
  <c r="K39" s="1"/>
  <c r="K40" s="1"/>
  <c r="K41" s="1"/>
  <c r="C16" i="8"/>
  <c r="C22" s="1"/>
  <c r="C31" s="1"/>
  <c r="C33" s="1"/>
  <c r="F37" i="5"/>
  <c r="G37" s="1"/>
  <c r="C37"/>
  <c r="C201" i="2"/>
  <c r="D202" s="1"/>
  <c r="E202" s="1"/>
  <c r="D76"/>
  <c r="E76" s="1"/>
  <c r="D77" s="1"/>
  <c r="E77" s="1"/>
  <c r="D111"/>
  <c r="E111" s="1"/>
  <c r="F132"/>
  <c r="E19" s="1"/>
  <c r="F138"/>
  <c r="E20" s="1"/>
  <c r="E171"/>
  <c r="F172" s="1"/>
  <c r="D190"/>
  <c r="E190" s="1"/>
  <c r="D191" s="1"/>
  <c r="E191" s="1"/>
  <c r="F126"/>
  <c r="E18" s="1"/>
  <c r="F236"/>
  <c r="D94"/>
  <c r="E27" l="1"/>
  <c r="C29" i="8"/>
  <c r="C34" s="1"/>
  <c r="G38" i="5"/>
  <c r="G32"/>
  <c r="E192" i="2"/>
  <c r="D193" s="1"/>
  <c r="E193" s="1"/>
  <c r="F194" s="1"/>
  <c r="C206"/>
  <c r="D207" s="1"/>
  <c r="E207" s="1"/>
  <c r="E208" s="1"/>
  <c r="D209" s="1"/>
  <c r="E209" s="1"/>
  <c r="F210" s="1"/>
  <c r="F174"/>
  <c r="E21" s="1"/>
  <c r="E114"/>
  <c r="D115" s="1"/>
  <c r="E78"/>
  <c r="F346" l="1"/>
  <c r="E22" s="1"/>
  <c r="E24"/>
  <c r="C94"/>
  <c r="C60"/>
  <c r="E60" s="1"/>
  <c r="E61" s="1"/>
  <c r="D62" s="1"/>
  <c r="E62" s="1"/>
  <c r="F63" s="1"/>
  <c r="E14" s="1"/>
  <c r="C115"/>
  <c r="C79"/>
  <c r="E25"/>
  <c r="D79"/>
  <c r="E23" l="1"/>
  <c r="E79"/>
  <c r="E80" s="1"/>
  <c r="D81" s="1"/>
  <c r="E81" s="1"/>
  <c r="F82" s="1"/>
  <c r="E15" s="1"/>
  <c r="E115"/>
  <c r="E116" s="1"/>
  <c r="D117" s="1"/>
  <c r="E117" s="1"/>
  <c r="F118" s="1"/>
  <c r="E17" s="1"/>
  <c r="E94"/>
  <c r="E95" s="1"/>
  <c r="D96" s="1"/>
  <c r="E96" s="1"/>
  <c r="F97" s="1"/>
  <c r="E16" s="1"/>
  <c r="F140" l="1"/>
  <c r="F371" s="1"/>
  <c r="E13" l="1"/>
  <c r="D376"/>
  <c r="E376" s="1"/>
  <c r="F377" s="1"/>
  <c r="F379" s="1"/>
  <c r="E32" s="1"/>
  <c r="E33" l="1"/>
  <c r="F13" s="1"/>
  <c r="F382"/>
  <c r="F387" s="1"/>
  <c r="F31" l="1"/>
  <c r="F15"/>
  <c r="F21"/>
  <c r="F14"/>
  <c r="F20"/>
  <c r="F17"/>
  <c r="F22"/>
  <c r="F29"/>
  <c r="F28"/>
  <c r="F16"/>
  <c r="F23"/>
  <c r="F24"/>
  <c r="F25"/>
  <c r="F19"/>
  <c r="F26"/>
  <c r="F18"/>
  <c r="F30"/>
  <c r="F27"/>
  <c r="F32"/>
  <c r="F33" l="1"/>
</calcChain>
</file>

<file path=xl/comments1.xml><?xml version="1.0" encoding="utf-8"?>
<comments xmlns="http://schemas.openxmlformats.org/spreadsheetml/2006/main">
  <authors>
    <author>Clauber Bridi</author>
  </authors>
  <commentList>
    <comment ref="A11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4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55" authorId="0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6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57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0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2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68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70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71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73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74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76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9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1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86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87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88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89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90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1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92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94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96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103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105" authorId="0">
      <text>
        <r>
          <rPr>
            <sz val="9"/>
            <color indexed="81"/>
            <rFont val="Tahoma"/>
            <family val="2"/>
          </rPr>
          <t>Informar o número de horas extras trabalhadas em horário noturno nos domingos e feriados</t>
        </r>
      </text>
    </comment>
    <comment ref="C106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108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109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111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2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15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17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22" author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23" author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24" author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25" author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30" authorId="0">
      <text>
        <r>
          <rPr>
            <sz val="9"/>
            <color indexed="81"/>
            <rFont val="Tahoma"/>
            <family val="2"/>
          </rPr>
          <t>Informar o valor unitário diário do vale refeição conforme Convenção Coletiva da categoria</t>
        </r>
      </text>
    </comment>
    <comment ref="D131" authorId="0">
      <text>
        <r>
          <rPr>
            <sz val="9"/>
            <color indexed="81"/>
            <rFont val="Tahoma"/>
            <family val="2"/>
          </rPr>
          <t>Informar o valor unitário diário do vale refeição conforme Convenção Coletiva da categoria</t>
        </r>
      </text>
    </comment>
    <comment ref="D136" authorId="0">
      <text>
        <r>
          <rPr>
            <sz val="9"/>
            <color indexed="81"/>
            <rFont val="Tahoma"/>
            <family val="2"/>
          </rPr>
          <t>Informar o valor mensal do auxilio alimentação conforme Convenção Coletiva da categoria</t>
        </r>
      </text>
    </comment>
    <comment ref="D137" authorId="0">
      <text>
        <r>
          <rPr>
            <sz val="9"/>
            <color indexed="81"/>
            <rFont val="Tahoma"/>
            <family val="2"/>
          </rPr>
          <t>Informar o valor mensal do auxilio alimentação conforme Convenção Coletiva da categoria</t>
        </r>
      </text>
    </comment>
    <comment ref="C14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7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8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9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0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1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2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3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4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5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5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6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57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C16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5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70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D182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83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84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85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7" author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88" author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89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190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3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199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5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16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
</t>
        </r>
      </text>
    </comment>
    <comment ref="B222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25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25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27" author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27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29" author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29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31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31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33" author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33" author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41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242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243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244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6" author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247" author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248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249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52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258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4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75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
</t>
        </r>
      </text>
    </comment>
    <comment ref="B281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84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84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86" author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86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88" author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88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90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90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92" author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92" author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99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304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304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305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306" author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307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as recapagens, em km
</t>
        </r>
      </text>
    </comment>
    <comment ref="C313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313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D319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320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321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322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5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331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41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351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351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352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352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353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353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354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354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355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355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360" author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3" author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</t>
        </r>
      </text>
    </comment>
    <comment ref="D365" author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376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D385" authorId="0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2.xml><?xml version="1.0" encoding="utf-8"?>
<comments xmlns="http://schemas.openxmlformats.org/spreadsheetml/2006/main">
  <authors>
    <author>Jorge Mesquita</author>
  </authors>
  <commentList>
    <comment ref="G37" authorId="0">
      <text>
        <r>
          <rPr>
            <b/>
            <sz val="9"/>
            <color indexed="81"/>
            <rFont val="Tahoma"/>
            <family val="2"/>
          </rPr>
          <t>Jorge Mesquita:</t>
        </r>
        <r>
          <rPr>
            <sz val="9"/>
            <color indexed="81"/>
            <rFont val="Tahoma"/>
            <family val="2"/>
          </rPr>
          <t xml:space="preserve">
Criar um tipo de arredondamento.
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C10" author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4.xml><?xml version="1.0" encoding="utf-8"?>
<comments xmlns="http://schemas.openxmlformats.org/spreadsheetml/2006/main">
  <authors>
    <author>cbridi</author>
    <author>Clauber Bridi</author>
    <author>Omar</author>
  </authors>
  <commentList>
    <comment ref="C9" authorId="0">
      <text>
        <r>
          <rPr>
            <sz val="8"/>
            <color indexed="81"/>
            <rFont val="Tahoma"/>
            <family val="2"/>
          </rPr>
          <t>Informar a população do município a ser atendida</t>
        </r>
      </text>
    </comment>
    <comment ref="C10" authorId="1">
      <text>
        <r>
          <rPr>
            <b/>
            <sz val="9"/>
            <color indexed="81"/>
            <rFont val="Tahoma"/>
            <family val="2"/>
          </rPr>
          <t>Caso o município possua informações de pesagem, ajustar com o valor da geração média per capita realizada nos últimos 12 meses</t>
        </r>
      </text>
    </comment>
    <comment ref="C11" authorId="2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  <comment ref="C13" authorId="0">
      <text>
        <r>
          <rPr>
            <b/>
            <sz val="8"/>
            <color indexed="81"/>
            <rFont val="Tahoma"/>
            <charset val="1"/>
          </rPr>
          <t>Informe o número de dias de coleta por semana</t>
        </r>
      </text>
    </comment>
    <comment ref="C16" authorId="0">
      <text>
        <r>
          <rPr>
            <sz val="8"/>
            <color indexed="81"/>
            <rFont val="Tahoma"/>
            <family val="2"/>
          </rPr>
          <t>Informar 1 para caminhão toco; Informar 2 para caminhão truck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  <comment ref="C17" authorId="0">
      <text>
        <r>
          <rPr>
            <sz val="8"/>
            <color indexed="81"/>
            <rFont val="Tahoma"/>
            <family val="2"/>
          </rPr>
          <t>Informar a capacidade do compactador em m³</t>
        </r>
      </text>
    </comment>
    <comment ref="C20" authorId="1">
      <text>
        <r>
          <rPr>
            <sz val="8"/>
            <color indexed="81"/>
            <rFont val="Tahoma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<sst xmlns="http://schemas.openxmlformats.org/spreadsheetml/2006/main" count="780" uniqueCount="352">
  <si>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</si>
  <si>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</si>
  <si>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</si>
  <si>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</si>
  <si>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</si>
  <si>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</si>
  <si>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</si>
  <si>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</si>
  <si>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</si>
  <si>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</si>
  <si>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</si>
  <si>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</si>
  <si>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</si>
  <si>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</si>
  <si>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</si>
  <si>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</si>
  <si>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</si>
  <si>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</si>
  <si>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</si>
  <si>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</si>
  <si>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</si>
  <si>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</si>
  <si>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</si>
  <si>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</si>
  <si>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</si>
  <si>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</si>
  <si>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</si>
  <si>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toneladas</t>
  </si>
  <si>
    <t>Pá de Concha</t>
  </si>
  <si>
    <t>Vassoura</t>
  </si>
  <si>
    <t>Calça</t>
  </si>
  <si>
    <t>Camiseta</t>
  </si>
  <si>
    <t>Boné</t>
  </si>
  <si>
    <t>Luva de proteção</t>
  </si>
  <si>
    <t>R$/tonelada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</si>
  <si>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</si>
  <si>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</si>
  <si>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</si>
  <si>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</si>
  <si>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</si>
  <si>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</si>
  <si>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</si>
  <si>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</si>
  <si>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</si>
  <si>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</si>
  <si>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</si>
  <si>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</si>
  <si>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</si>
  <si>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</si>
  <si>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</si>
  <si>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</si>
  <si>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</si>
  <si>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</si>
  <si>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</si>
  <si>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</si>
  <si>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 Veículos e Equipamentos</t>
  </si>
  <si>
    <t>Custo mensal com pneus</t>
  </si>
  <si>
    <t>Veículos e Equipamentos</t>
  </si>
  <si>
    <t>Publicidade (adesivos equipamentos)</t>
  </si>
  <si>
    <t>cj</t>
  </si>
  <si>
    <t>Total de mão-de-obra (postos de trabalho)</t>
  </si>
  <si>
    <t>Publicidade (adesivos veículos)</t>
  </si>
  <si>
    <t>Custo mensal com implantação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</si>
  <si>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</si>
  <si>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</si>
  <si>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</si>
  <si>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</si>
  <si>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</si>
  <si>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</si>
  <si>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</si>
  <si>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Botina de segurança c/ palmilha aço</t>
  </si>
  <si>
    <t>PREÇO POR TONELADA COLETADA:  [A/B]</t>
  </si>
  <si>
    <t>Custo de recapagem</t>
  </si>
  <si>
    <t>Recipiente térmico para água (5L)</t>
  </si>
  <si>
    <t>Total por Coletor</t>
  </si>
  <si>
    <t>Coletor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</si>
  <si>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</si>
  <si>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</si>
  <si>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</si>
  <si>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</si>
  <si>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</si>
  <si>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</si>
  <si>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</si>
  <si>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</si>
  <si>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</si>
  <si>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</si>
  <si>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</si>
  <si>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</si>
  <si>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</si>
  <si>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</si>
  <si>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1.2. Coletor Turno Noite</t>
  </si>
  <si>
    <t>Vale Transporte</t>
  </si>
  <si>
    <t>Dias Trabalhados por mês</t>
  </si>
  <si>
    <t>dia</t>
  </si>
  <si>
    <t>Custo Mensal com Mão-de-obra (R$/mês)</t>
  </si>
  <si>
    <t>Meia de algodão com cano alto</t>
  </si>
  <si>
    <t>Custo do jogo de pneus xxx/xx Rxx</t>
  </si>
  <si>
    <r>
      <t xml:space="preserve">Custo jg. compl. + </t>
    </r>
    <r>
      <rPr>
        <sz val="10"/>
        <color indexed="10"/>
        <rFont val="Arial"/>
        <family val="2"/>
      </rPr>
      <t>X</t>
    </r>
    <r>
      <rPr>
        <sz val="10"/>
        <rFont val="Arial"/>
        <family val="2"/>
      </rPr>
      <t xml:space="preserve"> recap./ km rodado</t>
    </r>
  </si>
  <si>
    <t>Quantitativos</t>
  </si>
  <si>
    <t>horas trabalhadas</t>
  </si>
  <si>
    <t>Horas Extras Noturnas (100%)</t>
  </si>
  <si>
    <t>1.1. Coletor Turno Dia</t>
  </si>
  <si>
    <t>1.3. Motorista Turno do Dia</t>
  </si>
  <si>
    <t>1.4. Motorista Turno Noite</t>
  </si>
  <si>
    <t>hora contabilizada</t>
  </si>
  <si>
    <t>1.5. Vale Transporte</t>
  </si>
  <si>
    <t>Vida útil do chassis</t>
  </si>
  <si>
    <t>anos</t>
  </si>
  <si>
    <t>Vida útil do compactador</t>
  </si>
  <si>
    <t>Depreciação do compactador</t>
  </si>
  <si>
    <t>Depreciação do chassis</t>
  </si>
  <si>
    <t>Custo de aquisição do compactador</t>
  </si>
  <si>
    <t>Custo de aquisição do chassis</t>
  </si>
  <si>
    <t>Depreciação mensal do compactador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</si>
  <si>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</si>
  <si>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</si>
  <si>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</si>
  <si>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</si>
  <si>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</si>
  <si>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</si>
  <si>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</si>
  <si>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</si>
  <si>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</si>
  <si>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</si>
  <si>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</si>
  <si>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</si>
  <si>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</si>
  <si>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</si>
  <si>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1.6. Vale-refeição (diário)</t>
  </si>
  <si>
    <t>1.7. Auxílio Alimentação (mensal)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</si>
  <si>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</si>
  <si>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</si>
  <si>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</si>
  <si>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</si>
  <si>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</si>
  <si>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</si>
  <si>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</si>
  <si>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</si>
  <si>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</si>
  <si>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</si>
  <si>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</si>
  <si>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</si>
  <si>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</si>
  <si>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Rotatividade</t>
  </si>
  <si>
    <t>Demitidos s/ Justa Causa em relação ao Estoque Médio</t>
  </si>
  <si>
    <t>Dias ano</t>
  </si>
  <si>
    <t>Estoque Médio</t>
  </si>
  <si>
    <t>Multa FGTS</t>
  </si>
  <si>
    <t>Fração de tempo para gozo férias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</si>
  <si>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</si>
  <si>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</si>
  <si>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</si>
  <si>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</si>
  <si>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</si>
  <si>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</si>
  <si>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</si>
  <si>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</si>
  <si>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</si>
  <si>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</si>
  <si>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</si>
  <si>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</si>
  <si>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</si>
  <si>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</si>
  <si>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</si>
  <si>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</si>
  <si>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</si>
  <si>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</si>
  <si>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</si>
  <si>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</si>
  <si>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</si>
  <si>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</si>
  <si>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</si>
  <si>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</si>
  <si>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</si>
  <si>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</si>
  <si>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</si>
  <si>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</si>
  <si>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</si>
  <si>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</si>
  <si>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</si>
  <si>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</si>
  <si>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</si>
  <si>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</si>
  <si>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</si>
  <si>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</si>
  <si>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</si>
  <si>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</si>
  <si>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</si>
  <si>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</si>
  <si>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</si>
  <si>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</si>
  <si>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</si>
  <si>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</si>
  <si>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</si>
  <si>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</si>
  <si>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</si>
  <si>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Grupo A sobre aviso prévio indenizado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</si>
  <si>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</si>
  <si>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</si>
  <si>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</si>
  <si>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</si>
  <si>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</si>
  <si>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</si>
  <si>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</si>
  <si>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</si>
  <si>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</si>
  <si>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</si>
  <si>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</si>
  <si>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</si>
  <si>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</si>
  <si>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</si>
  <si>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</si>
  <si>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</si>
  <si>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</si>
  <si>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</si>
  <si>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Excluir esta linha caso a contratação seja por preço global mensal</t>
  </si>
  <si>
    <t>Rio Grande do Sul  - Coleta de Resíduos Não-Perigosos - CNAE 38114</t>
  </si>
  <si>
    <t xml:space="preserve">1. Acesse o Portal do CAGED no link http://bi.mte.gov.br/cagedestabelecimento/pages/consulta.xhtml </t>
  </si>
  <si>
    <t>3. Nível Geográfico: selecione "Unidade da Federação" e marque a opção "Rio Grande do Sul"</t>
  </si>
  <si>
    <t>4. Nível Setorial: selecione "Classe de atividade econômica segundo a classificação CNAE – versão 2.0 (669 categorias)" e marque a opção "38114 – Coleta de Resíduos Não-Perigosos"</t>
  </si>
  <si>
    <t>5. Clique em Gerar Relatório</t>
  </si>
  <si>
    <t>Para preencher esta planilha siga os passos 1 a 5:</t>
  </si>
  <si>
    <t>Idade do veículo (ano)</t>
  </si>
  <si>
    <t>Idade do veículo</t>
  </si>
  <si>
    <t>Idade do compactador</t>
  </si>
  <si>
    <t>Valor do veículo proposto (V0)</t>
  </si>
  <si>
    <t>Valor do compactador proposto (V0)</t>
  </si>
  <si>
    <t>Taxa de juros anual nominal</t>
  </si>
  <si>
    <t>Piso da categoria</t>
  </si>
  <si>
    <t>Salário mínimo nacional</t>
  </si>
  <si>
    <t>Base de cálculo da Insalubridade</t>
  </si>
  <si>
    <t>Piso da categoria (1)</t>
  </si>
  <si>
    <t>Salário mínimo nacional (2)</t>
  </si>
  <si>
    <t>Horas Extras Noturnas (50%)</t>
  </si>
  <si>
    <t>Excluir esta linha caso a contratação não tenha previsão de horas extras explícita no edital</t>
  </si>
  <si>
    <t>Descanso Semanal Remunerado (DSR) - hora extra</t>
  </si>
  <si>
    <t>C2</t>
  </si>
  <si>
    <t>B3</t>
  </si>
  <si>
    <t xml:space="preserve">Quantidade média de resíduos coletados por mês: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</si>
  <si>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</si>
  <si>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</si>
  <si>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</si>
  <si>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</si>
  <si>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</si>
  <si>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</si>
  <si>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</si>
  <si>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</si>
  <si>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</si>
  <si>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</si>
  <si>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</si>
  <si>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</si>
  <si>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</si>
  <si>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</si>
  <si>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</si>
  <si>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</si>
  <si>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</si>
  <si>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</si>
  <si>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</si>
  <si>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</si>
  <si>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</si>
  <si>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CÁLCULO DAS VERBAS INDENIZATÓRIAS DOS EMPREGADOS NO SETOR DE COLETA DE RSU</t>
  </si>
  <si>
    <t>6. Preencha as células em amarelo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</si>
  <si>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</si>
  <si>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</si>
  <si>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</si>
  <si>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</si>
  <si>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</si>
  <si>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</si>
  <si>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1. Esta planilha é somente um modelo-base e deve ser ajustada conforme cada caso concreto.</t>
  </si>
  <si>
    <t>Fórmula de cálculo da remuneração de capital:</t>
  </si>
  <si>
    <t>Excluir esta linha caso a contratação não tenha previsão de horas extras 100% explícita no edital</t>
  </si>
  <si>
    <t>Excluir esta linha caso a contratação não tenha previsão de horas extras noturnas 100% explícita no edital</t>
  </si>
  <si>
    <t>Excluir esta linha caso a contratação não tenha previsão de horas extras 50% explícita no edital</t>
  </si>
  <si>
    <t>Excluir esta linha caso a contratação não tenha previsão de horas extras noturnas 50% explícita no edital</t>
  </si>
  <si>
    <t>Total por Motorista</t>
  </si>
  <si>
    <t>2. Na Especificação da Consulta, selecione "Demonstrativo por período" e informe as competências relativas ao período Inicial e Final (últimos 12 meses)</t>
  </si>
  <si>
    <t>Durabilidade (meses)</t>
  </si>
  <si>
    <t>Custo com consumos/km rodado</t>
  </si>
  <si>
    <t>Consumo</t>
  </si>
  <si>
    <t>Total por veículo</t>
  </si>
  <si>
    <t>Total da frota</t>
  </si>
  <si>
    <t>Variação Emprego Absoluta de 01-09-2016 a 31-08-2017</t>
  </si>
  <si>
    <t>1. Esta planilha é somente um modelo de cálculo expedito e deve ser ajustada conforme cada caso concreto.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</si>
  <si>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</si>
  <si>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</si>
  <si>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</si>
  <si>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</si>
  <si>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</si>
  <si>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</si>
  <si>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</si>
  <si>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</si>
  <si>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</si>
  <si>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</si>
  <si>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</si>
  <si>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</si>
  <si>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</si>
  <si>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</si>
  <si>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</si>
  <si>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</si>
  <si>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</si>
  <si>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</si>
  <si>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</si>
  <si>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7. Dimensionamento da frota</t>
  </si>
  <si>
    <t>Indicador</t>
  </si>
  <si>
    <t>Número total de percursos de coleta por veículo, por dia (Np)</t>
  </si>
  <si>
    <t>i</t>
  </si>
  <si>
    <t>3. Preencher somente células em amarelo</t>
  </si>
  <si>
    <t>Depreciação Média</t>
  </si>
  <si>
    <t>2. Dimensionar separadamente setores atendidos por veículos de capacidade de carga diferentes.</t>
  </si>
  <si>
    <t> 0,5363</t>
  </si>
  <si>
    <t>Estoque recuperado início do Período 01/09/2017</t>
  </si>
  <si>
    <t>Estoque recuperado final do Período 31-08-2018</t>
  </si>
  <si>
    <t xml:space="preserve">   </t>
  </si>
  <si>
    <t>Custo de Transporte com Barca Caminhão Truck</t>
  </si>
  <si>
    <t>3.1. Veículo Coletor Compactador</t>
  </si>
  <si>
    <t>3.2. Veículo Equipado com Lavador de Contêiner</t>
  </si>
  <si>
    <t>3.2.1. Depreciação</t>
  </si>
  <si>
    <t>3.2.2. Remuneração do Capital</t>
  </si>
  <si>
    <t>3.2.3. Impostos e Seguros</t>
  </si>
  <si>
    <t>3.2.4. Consumos</t>
  </si>
  <si>
    <t>3.2.5. Manutenção</t>
  </si>
  <si>
    <t>3.2.6. Pneus</t>
  </si>
  <si>
    <t>3.2.7. Serviço de Transporte de Barca</t>
  </si>
  <si>
    <t>Custo de aquisição do lavador</t>
  </si>
  <si>
    <t>4. Contêineres</t>
  </si>
  <si>
    <t>4.1.1. Depreciação</t>
  </si>
  <si>
    <t>4.1. Contêiner com Capacidade minima de 2 m³</t>
  </si>
  <si>
    <t>Custo de aquisição dos contêineres</t>
  </si>
  <si>
    <t>Depreciação do contêineres</t>
  </si>
  <si>
    <t>Depreciação mensal contêineres</t>
  </si>
  <si>
    <t>Total</t>
  </si>
  <si>
    <t>4.1.2. Remuneração do Capital</t>
  </si>
  <si>
    <t>4.2.3. Manutenção</t>
  </si>
  <si>
    <t>Custo de manutenção dos contêineres</t>
  </si>
  <si>
    <t>5. Ferramentas e Materiais de Consumo</t>
  </si>
  <si>
    <t>6. Monitoramento da Frota</t>
  </si>
  <si>
    <t>7. Benefícios e Despesas Indiretas - BDI</t>
  </si>
  <si>
    <t>Vida útil do Lavador</t>
  </si>
  <si>
    <t>Idade do lavador</t>
  </si>
  <si>
    <t>Depreciação do lavador</t>
  </si>
  <si>
    <t>Depreciação mensal do lavador</t>
  </si>
  <si>
    <t>Custo do Lavador</t>
  </si>
  <si>
    <t>1. Coleta de Resíduos Sólidos - MECANIZADA</t>
  </si>
  <si>
    <t>Vida útil do contêiner</t>
  </si>
  <si>
    <t>Idade do contêiner</t>
  </si>
  <si>
    <t>memoria de calculo</t>
  </si>
  <si>
    <t>Quilometragem</t>
  </si>
  <si>
    <t>3 x semana</t>
  </si>
  <si>
    <t>4 semanasa</t>
  </si>
  <si>
    <t>Total mês</t>
  </si>
  <si>
    <t>* 3 DIAS E COLETA E 1 DIA DE LIMPEZA</t>
  </si>
  <si>
    <t>* Considerando 6 dias de coleta (Segunda a Sábado), 67% refere-se a 3 dias de coleta e 1 dia de limpeza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</si>
</sst>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00_-;\-* #,##0.000_-;_-* &quot;-&quot;??_-;_-@_-"/>
    <numFmt numFmtId="171" formatCode="_-* #,##0.00_-;\-* #,##0.00_-;_-* &quot;-&quot;?_-;_-@_-"/>
    <numFmt numFmtId="172" formatCode="_-* #,##0_-;\-* #,##0_-;_-* &quot;-&quot;?_-;_-@_-"/>
  </numFmts>
  <fonts count="33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  <font>
      <sz val="10"/>
      <color rgb="FF666666"/>
      <name val="Arial"/>
      <family val="2"/>
    </font>
    <font>
      <u val="singleAccounting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2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5" fontId="6" fillId="0" borderId="2" xfId="3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6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3" applyFont="1" applyAlignment="1">
      <alignment horizontal="center" vertical="center"/>
    </xf>
    <xf numFmtId="165" fontId="3" fillId="2" borderId="4" xfId="3" applyFont="1" applyFill="1" applyBorder="1" applyAlignment="1">
      <alignment horizontal="center" vertical="center"/>
    </xf>
    <xf numFmtId="165" fontId="3" fillId="2" borderId="4" xfId="3" applyFont="1" applyFill="1" applyBorder="1" applyAlignment="1">
      <alignment vertical="center"/>
    </xf>
    <xf numFmtId="165" fontId="3" fillId="0" borderId="0" xfId="3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5" fontId="3" fillId="0" borderId="6" xfId="3" applyFont="1" applyBorder="1" applyAlignment="1">
      <alignment vertical="center"/>
    </xf>
    <xf numFmtId="165" fontId="3" fillId="0" borderId="7" xfId="3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5" fontId="6" fillId="0" borderId="6" xfId="3" applyFont="1" applyBorder="1" applyAlignment="1">
      <alignment vertical="center"/>
    </xf>
    <xf numFmtId="165" fontId="6" fillId="0" borderId="7" xfId="3" applyFont="1" applyBorder="1" applyAlignment="1">
      <alignment vertical="center"/>
    </xf>
    <xf numFmtId="165" fontId="3" fillId="0" borderId="0" xfId="3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65" fontId="3" fillId="0" borderId="0" xfId="3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5" fontId="3" fillId="0" borderId="0" xfId="3" applyFont="1" applyBorder="1" applyAlignment="1">
      <alignment vertical="center"/>
    </xf>
    <xf numFmtId="165" fontId="5" fillId="0" borderId="0" xfId="3" applyFont="1" applyAlignment="1">
      <alignment vertical="center"/>
    </xf>
    <xf numFmtId="166" fontId="6" fillId="0" borderId="1" xfId="3" applyNumberFormat="1" applyFont="1" applyBorder="1" applyAlignment="1">
      <alignment vertical="center"/>
    </xf>
    <xf numFmtId="165" fontId="6" fillId="0" borderId="0" xfId="3" applyFont="1"/>
    <xf numFmtId="165" fontId="4" fillId="0" borderId="0" xfId="3" applyFont="1" applyAlignment="1">
      <alignment vertical="center"/>
    </xf>
    <xf numFmtId="165" fontId="0" fillId="0" borderId="11" xfId="3" applyFont="1" applyBorder="1" applyAlignment="1">
      <alignment vertical="center"/>
    </xf>
    <xf numFmtId="165" fontId="3" fillId="0" borderId="12" xfId="3" applyFont="1" applyBorder="1" applyAlignment="1">
      <alignment horizontal="center" vertical="center"/>
    </xf>
    <xf numFmtId="165" fontId="3" fillId="0" borderId="5" xfId="3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centerContinuous" vertical="center"/>
    </xf>
    <xf numFmtId="165" fontId="3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5" fontId="0" fillId="0" borderId="9" xfId="3" applyFont="1" applyBorder="1" applyAlignment="1">
      <alignment vertical="center"/>
    </xf>
    <xf numFmtId="165" fontId="3" fillId="0" borderId="13" xfId="3" applyFont="1" applyBorder="1" applyAlignment="1">
      <alignment horizontal="right" vertical="center"/>
    </xf>
    <xf numFmtId="165" fontId="0" fillId="0" borderId="14" xfId="3" applyFont="1" applyBorder="1" applyAlignment="1">
      <alignment vertical="center"/>
    </xf>
    <xf numFmtId="165" fontId="6" fillId="0" borderId="1" xfId="3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5" fontId="6" fillId="0" borderId="0" xfId="3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5" fontId="4" fillId="0" borderId="0" xfId="3" applyFont="1" applyBorder="1" applyAlignment="1">
      <alignment vertical="center"/>
    </xf>
    <xf numFmtId="10" fontId="0" fillId="0" borderId="15" xfId="2" applyNumberFormat="1" applyFont="1" applyBorder="1" applyAlignment="1">
      <alignment vertical="center"/>
    </xf>
    <xf numFmtId="165" fontId="6" fillId="0" borderId="0" xfId="3" applyFont="1" applyBorder="1" applyAlignment="1">
      <alignment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165" fontId="13" fillId="2" borderId="17" xfId="3" applyFont="1" applyFill="1" applyBorder="1" applyAlignment="1">
      <alignment horizontal="center" vertical="center"/>
    </xf>
    <xf numFmtId="165" fontId="13" fillId="2" borderId="18" xfId="3" applyFont="1" applyFill="1" applyBorder="1" applyAlignment="1">
      <alignment horizontal="center" vertical="center"/>
    </xf>
    <xf numFmtId="165" fontId="3" fillId="0" borderId="19" xfId="3" applyFont="1" applyBorder="1" applyAlignment="1">
      <alignment horizontal="center" vertical="center"/>
    </xf>
    <xf numFmtId="165" fontId="1" fillId="0" borderId="14" xfId="3" applyFont="1" applyBorder="1" applyAlignment="1">
      <alignment horizontal="left" vertical="center"/>
    </xf>
    <xf numFmtId="165" fontId="6" fillId="0" borderId="9" xfId="3" applyFont="1" applyBorder="1" applyAlignment="1">
      <alignment vertical="center"/>
    </xf>
    <xf numFmtId="165" fontId="6" fillId="0" borderId="14" xfId="3" applyFont="1" applyBorder="1" applyAlignment="1">
      <alignment vertical="center"/>
    </xf>
    <xf numFmtId="166" fontId="6" fillId="0" borderId="0" xfId="3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20" xfId="3" applyNumberFormat="1" applyFont="1" applyBorder="1" applyAlignment="1">
      <alignment horizontal="center" vertical="center"/>
    </xf>
    <xf numFmtId="165" fontId="3" fillId="0" borderId="28" xfId="3" applyFont="1" applyBorder="1" applyAlignment="1">
      <alignment vertical="center"/>
    </xf>
    <xf numFmtId="4" fontId="3" fillId="0" borderId="29" xfId="0" applyNumberFormat="1" applyFont="1" applyBorder="1" applyAlignment="1">
      <alignment vertical="center"/>
    </xf>
    <xf numFmtId="165" fontId="6" fillId="0" borderId="19" xfId="3" applyFont="1" applyBorder="1" applyAlignment="1">
      <alignment vertical="center"/>
    </xf>
    <xf numFmtId="165" fontId="6" fillId="0" borderId="11" xfId="3" applyFont="1" applyBorder="1" applyAlignment="1">
      <alignment vertical="center"/>
    </xf>
    <xf numFmtId="0" fontId="0" fillId="0" borderId="11" xfId="0" applyBorder="1" applyAlignment="1">
      <alignment vertical="center"/>
    </xf>
    <xf numFmtId="1" fontId="6" fillId="0" borderId="12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1" fontId="3" fillId="0" borderId="31" xfId="3" applyNumberFormat="1" applyFont="1" applyBorder="1" applyAlignment="1">
      <alignment horizontal="center" vertical="center"/>
    </xf>
    <xf numFmtId="165" fontId="12" fillId="0" borderId="1" xfId="3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5" fontId="3" fillId="2" borderId="4" xfId="3" applyNumberFormat="1" applyFont="1" applyFill="1" applyBorder="1" applyAlignment="1">
      <alignment horizontal="center" vertical="center"/>
    </xf>
    <xf numFmtId="165" fontId="6" fillId="0" borderId="1" xfId="3" applyFont="1" applyFill="1" applyBorder="1" applyAlignment="1">
      <alignment horizontal="center" vertical="center"/>
    </xf>
    <xf numFmtId="165" fontId="11" fillId="0" borderId="0" xfId="3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2" xfId="3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165" fontId="6" fillId="3" borderId="1" xfId="3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5" fontId="6" fillId="3" borderId="0" xfId="3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166" fontId="6" fillId="0" borderId="1" xfId="3" applyNumberFormat="1" applyFont="1" applyBorder="1" applyAlignment="1">
      <alignment horizontal="center" vertical="center"/>
    </xf>
    <xf numFmtId="165" fontId="6" fillId="3" borderId="1" xfId="3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167" fontId="6" fillId="3" borderId="2" xfId="3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13" fontId="6" fillId="3" borderId="1" xfId="0" applyNumberFormat="1" applyFont="1" applyFill="1" applyBorder="1" applyAlignment="1">
      <alignment horizontal="center" vertical="center"/>
    </xf>
    <xf numFmtId="166" fontId="6" fillId="0" borderId="1" xfId="3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1" xfId="3" applyFont="1" applyBorder="1" applyAlignment="1">
      <alignment horizontal="center" vertical="center"/>
    </xf>
    <xf numFmtId="165" fontId="6" fillId="0" borderId="2" xfId="3" applyFont="1" applyFill="1" applyBorder="1" applyAlignment="1">
      <alignment horizontal="center" vertical="center"/>
    </xf>
    <xf numFmtId="0" fontId="8" fillId="0" borderId="0" xfId="1" applyAlignment="1" applyProtection="1">
      <alignment vertical="center"/>
    </xf>
    <xf numFmtId="0" fontId="3" fillId="0" borderId="0" xfId="0" applyFont="1"/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165" fontId="13" fillId="2" borderId="33" xfId="3" applyFont="1" applyFill="1" applyBorder="1" applyAlignment="1">
      <alignment horizontal="center" vertical="center"/>
    </xf>
    <xf numFmtId="165" fontId="6" fillId="0" borderId="0" xfId="3" applyFont="1" applyFill="1" applyAlignment="1">
      <alignment vertical="center"/>
    </xf>
    <xf numFmtId="165" fontId="3" fillId="0" borderId="1" xfId="3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vertical="center"/>
    </xf>
    <xf numFmtId="164" fontId="3" fillId="0" borderId="34" xfId="0" applyNumberFormat="1" applyFont="1" applyBorder="1" applyAlignment="1">
      <alignment vertical="center"/>
    </xf>
    <xf numFmtId="165" fontId="3" fillId="0" borderId="35" xfId="3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3" applyFont="1" applyAlignment="1">
      <alignment horizontal="center" vertical="center"/>
    </xf>
    <xf numFmtId="165" fontId="3" fillId="0" borderId="3" xfId="3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6" fillId="0" borderId="0" xfId="3" applyFont="1" applyAlignment="1">
      <alignment horizontal="right" vertical="center"/>
    </xf>
    <xf numFmtId="165" fontId="3" fillId="2" borderId="7" xfId="3" applyFont="1" applyFill="1" applyBorder="1" applyAlignment="1">
      <alignment horizontal="center" vertical="center"/>
    </xf>
    <xf numFmtId="165" fontId="3" fillId="0" borderId="14" xfId="3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5" fontId="3" fillId="0" borderId="9" xfId="3" applyFont="1" applyBorder="1" applyAlignment="1">
      <alignment vertical="center"/>
    </xf>
    <xf numFmtId="10" fontId="3" fillId="0" borderId="15" xfId="2" applyNumberFormat="1" applyFont="1" applyBorder="1" applyAlignment="1">
      <alignment vertical="center"/>
    </xf>
    <xf numFmtId="165" fontId="3" fillId="0" borderId="38" xfId="3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165" fontId="6" fillId="0" borderId="39" xfId="3" applyFont="1" applyBorder="1" applyAlignment="1">
      <alignment vertical="center"/>
    </xf>
    <xf numFmtId="165" fontId="6" fillId="0" borderId="40" xfId="3" applyFont="1" applyBorder="1" applyAlignment="1">
      <alignment vertical="center"/>
    </xf>
    <xf numFmtId="165" fontId="6" fillId="0" borderId="41" xfId="3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1" fontId="6" fillId="0" borderId="37" xfId="3" applyNumberFormat="1" applyFont="1" applyBorder="1" applyAlignment="1">
      <alignment horizontal="center" vertical="center"/>
    </xf>
    <xf numFmtId="165" fontId="3" fillId="0" borderId="14" xfId="3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Continuous" vertical="center"/>
    </xf>
    <xf numFmtId="0" fontId="1" fillId="0" borderId="0" xfId="0" applyFont="1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165" fontId="6" fillId="6" borderId="1" xfId="3" applyFont="1" applyFill="1" applyBorder="1" applyAlignment="1">
      <alignment horizontal="center" vertical="center"/>
    </xf>
    <xf numFmtId="165" fontId="6" fillId="6" borderId="1" xfId="3" applyFont="1" applyFill="1" applyBorder="1" applyAlignment="1">
      <alignment vertical="center"/>
    </xf>
    <xf numFmtId="9" fontId="3" fillId="0" borderId="18" xfId="2" applyFont="1" applyBorder="1" applyAlignment="1">
      <alignment vertical="center"/>
    </xf>
    <xf numFmtId="10" fontId="6" fillId="0" borderId="15" xfId="2" applyNumberFormat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0" fillId="0" borderId="38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39" xfId="3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166" fontId="3" fillId="0" borderId="0" xfId="3" applyNumberFormat="1" applyFont="1" applyBorder="1" applyAlignment="1">
      <alignment horizontal="center" vertical="center"/>
    </xf>
    <xf numFmtId="0" fontId="18" fillId="0" borderId="14" xfId="0" applyFont="1" applyBorder="1"/>
    <xf numFmtId="0" fontId="6" fillId="0" borderId="0" xfId="0" applyFont="1" applyBorder="1"/>
    <xf numFmtId="0" fontId="18" fillId="0" borderId="47" xfId="0" applyFont="1" applyBorder="1"/>
    <xf numFmtId="0" fontId="18" fillId="3" borderId="20" xfId="0" applyFont="1" applyFill="1" applyBorder="1"/>
    <xf numFmtId="0" fontId="18" fillId="0" borderId="23" xfId="0" applyFont="1" applyBorder="1"/>
    <xf numFmtId="0" fontId="18" fillId="0" borderId="51" xfId="0" applyFont="1" applyBorder="1"/>
    <xf numFmtId="0" fontId="18" fillId="0" borderId="48" xfId="0" applyFont="1" applyBorder="1"/>
    <xf numFmtId="0" fontId="18" fillId="0" borderId="52" xfId="0" applyFont="1" applyBorder="1"/>
    <xf numFmtId="0" fontId="18" fillId="0" borderId="20" xfId="0" applyFont="1" applyBorder="1"/>
    <xf numFmtId="0" fontId="18" fillId="0" borderId="28" xfId="0" applyFont="1" applyBorder="1"/>
    <xf numFmtId="2" fontId="19" fillId="7" borderId="1" xfId="0" applyNumberFormat="1" applyFont="1" applyFill="1" applyBorder="1" applyAlignment="1">
      <alignment horizontal="right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2" fontId="19" fillId="7" borderId="36" xfId="0" applyNumberFormat="1" applyFont="1" applyFill="1" applyBorder="1" applyAlignment="1">
      <alignment horizontal="right" vertical="center"/>
    </xf>
    <xf numFmtId="0" fontId="19" fillId="0" borderId="2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10" fontId="19" fillId="0" borderId="20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0" fontId="23" fillId="0" borderId="20" xfId="0" applyNumberFormat="1" applyFont="1" applyBorder="1" applyAlignment="1">
      <alignment horizontal="right" vertical="center"/>
    </xf>
    <xf numFmtId="0" fontId="19" fillId="5" borderId="23" xfId="0" applyFont="1" applyFill="1" applyBorder="1" applyAlignment="1">
      <alignment horizontal="left" vertical="center"/>
    </xf>
    <xf numFmtId="0" fontId="23" fillId="5" borderId="1" xfId="0" applyFont="1" applyFill="1" applyBorder="1" applyAlignment="1">
      <alignment horizontal="left" vertical="center"/>
    </xf>
    <xf numFmtId="10" fontId="23" fillId="5" borderId="20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10" fontId="6" fillId="0" borderId="0" xfId="0" applyNumberFormat="1" applyFont="1"/>
    <xf numFmtId="9" fontId="19" fillId="0" borderId="0" xfId="2" applyFont="1" applyBorder="1" applyAlignment="1">
      <alignment horizontal="right" vertical="center"/>
    </xf>
    <xf numFmtId="10" fontId="6" fillId="0" borderId="0" xfId="0" applyNumberFormat="1" applyFont="1" applyBorder="1"/>
    <xf numFmtId="0" fontId="19" fillId="0" borderId="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19" fillId="9" borderId="24" xfId="0" applyFont="1" applyFill="1" applyBorder="1" applyAlignment="1">
      <alignment horizontal="left" vertical="center"/>
    </xf>
    <xf numFmtId="0" fontId="23" fillId="9" borderId="36" xfId="0" applyFont="1" applyFill="1" applyBorder="1" applyAlignment="1">
      <alignment horizontal="left" vertical="center"/>
    </xf>
    <xf numFmtId="10" fontId="23" fillId="9" borderId="37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10" fontId="23" fillId="0" borderId="0" xfId="0" applyNumberFormat="1" applyFont="1" applyFill="1" applyBorder="1" applyAlignment="1">
      <alignment horizontal="right" vertical="center"/>
    </xf>
    <xf numFmtId="0" fontId="25" fillId="4" borderId="0" xfId="0" applyFont="1" applyFill="1" applyBorder="1" applyAlignment="1">
      <alignment horizontal="left" vertical="center"/>
    </xf>
    <xf numFmtId="10" fontId="19" fillId="0" borderId="0" xfId="0" applyNumberFormat="1" applyFont="1" applyFill="1" applyBorder="1" applyAlignment="1">
      <alignment horizontal="right" vertical="center"/>
    </xf>
    <xf numFmtId="0" fontId="19" fillId="4" borderId="0" xfId="0" applyFont="1" applyFill="1" applyBorder="1" applyAlignment="1">
      <alignment horizontal="left" vertical="center"/>
    </xf>
    <xf numFmtId="10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10" fontId="23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justify" vertical="center"/>
    </xf>
    <xf numFmtId="0" fontId="8" fillId="0" borderId="0" xfId="1" applyFont="1" applyBorder="1" applyAlignment="1" applyProtection="1">
      <alignment horizontal="left" vertical="center"/>
    </xf>
    <xf numFmtId="0" fontId="27" fillId="0" borderId="0" xfId="0" applyFont="1" applyBorder="1"/>
    <xf numFmtId="0" fontId="19" fillId="0" borderId="0" xfId="0" applyFont="1" applyBorder="1" applyAlignment="1">
      <alignment horizontal="right" vertical="center"/>
    </xf>
    <xf numFmtId="0" fontId="8" fillId="0" borderId="0" xfId="1" applyFont="1" applyBorder="1" applyAlignment="1" applyProtection="1">
      <alignment vertical="center"/>
    </xf>
    <xf numFmtId="0" fontId="5" fillId="0" borderId="15" xfId="0" applyFont="1" applyBorder="1"/>
    <xf numFmtId="0" fontId="5" fillId="0" borderId="23" xfId="0" applyFont="1" applyBorder="1"/>
    <xf numFmtId="0" fontId="5" fillId="3" borderId="20" xfId="0" applyFont="1" applyFill="1" applyBorder="1"/>
    <xf numFmtId="0" fontId="5" fillId="0" borderId="47" xfId="0" applyFont="1" applyBorder="1"/>
    <xf numFmtId="0" fontId="5" fillId="3" borderId="48" xfId="0" applyFont="1" applyFill="1" applyBorder="1"/>
    <xf numFmtId="0" fontId="5" fillId="0" borderId="49" xfId="0" applyFont="1" applyBorder="1"/>
    <xf numFmtId="0" fontId="5" fillId="3" borderId="50" xfId="0" applyFont="1" applyFill="1" applyBorder="1"/>
    <xf numFmtId="0" fontId="5" fillId="0" borderId="38" xfId="0" applyFont="1" applyBorder="1"/>
    <xf numFmtId="0" fontId="5" fillId="0" borderId="39" xfId="0" applyFont="1" applyBorder="1"/>
    <xf numFmtId="0" fontId="7" fillId="0" borderId="48" xfId="0" applyFont="1" applyBorder="1"/>
    <xf numFmtId="9" fontId="7" fillId="0" borderId="48" xfId="0" applyNumberFormat="1" applyFont="1" applyBorder="1"/>
    <xf numFmtId="0" fontId="7" fillId="0" borderId="38" xfId="0" applyFont="1" applyFill="1" applyBorder="1" applyAlignment="1">
      <alignment horizontal="left" vertical="center"/>
    </xf>
    <xf numFmtId="0" fontId="5" fillId="0" borderId="0" xfId="0" applyFont="1" applyBorder="1"/>
    <xf numFmtId="9" fontId="5" fillId="0" borderId="23" xfId="2" applyFont="1" applyBorder="1"/>
    <xf numFmtId="9" fontId="5" fillId="0" borderId="1" xfId="2" applyFont="1" applyBorder="1" applyAlignment="1">
      <alignment horizontal="center"/>
    </xf>
    <xf numFmtId="9" fontId="5" fillId="0" borderId="20" xfId="2" applyFont="1" applyBorder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10" fontId="5" fillId="3" borderId="12" xfId="0" applyNumberFormat="1" applyFont="1" applyFill="1" applyBorder="1" applyAlignment="1">
      <alignment horizontal="center" vertical="center"/>
    </xf>
    <xf numFmtId="10" fontId="5" fillId="0" borderId="20" xfId="2" applyNumberFormat="1" applyFont="1" applyBorder="1"/>
    <xf numFmtId="0" fontId="5" fillId="0" borderId="2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0" fontId="5" fillId="3" borderId="20" xfId="0" applyNumberFormat="1" applyFont="1" applyFill="1" applyBorder="1" applyAlignment="1">
      <alignment horizontal="center" vertical="center"/>
    </xf>
    <xf numFmtId="10" fontId="5" fillId="0" borderId="20" xfId="0" applyNumberFormat="1" applyFont="1" applyFill="1" applyBorder="1" applyAlignment="1">
      <alignment horizontal="center" vertical="center"/>
    </xf>
    <xf numFmtId="10" fontId="5" fillId="3" borderId="1" xfId="2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20" xfId="0" applyFont="1" applyBorder="1"/>
    <xf numFmtId="0" fontId="5" fillId="0" borderId="24" xfId="0" applyFont="1" applyFill="1" applyBorder="1" applyAlignment="1">
      <alignment horizontal="left" vertical="center"/>
    </xf>
    <xf numFmtId="10" fontId="5" fillId="3" borderId="3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10" fontId="5" fillId="0" borderId="27" xfId="0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/>
    </xf>
    <xf numFmtId="10" fontId="7" fillId="5" borderId="7" xfId="0" applyNumberFormat="1" applyFont="1" applyFill="1" applyBorder="1" applyAlignment="1">
      <alignment horizontal="center" vertical="center" wrapText="1"/>
    </xf>
    <xf numFmtId="10" fontId="5" fillId="0" borderId="23" xfId="2" applyNumberFormat="1" applyFont="1" applyBorder="1" applyAlignment="1">
      <alignment horizontal="right"/>
    </xf>
    <xf numFmtId="10" fontId="5" fillId="0" borderId="1" xfId="2" applyNumberFormat="1" applyFont="1" applyBorder="1" applyAlignment="1">
      <alignment horizontal="right"/>
    </xf>
    <xf numFmtId="10" fontId="5" fillId="0" borderId="20" xfId="2" applyNumberFormat="1" applyFont="1" applyBorder="1" applyAlignment="1">
      <alignment horizontal="right"/>
    </xf>
    <xf numFmtId="10" fontId="5" fillId="0" borderId="24" xfId="2" applyNumberFormat="1" applyFont="1" applyBorder="1" applyAlignment="1">
      <alignment horizontal="right"/>
    </xf>
    <xf numFmtId="10" fontId="5" fillId="0" borderId="36" xfId="2" applyNumberFormat="1" applyFont="1" applyBorder="1" applyAlignment="1">
      <alignment horizontal="right"/>
    </xf>
    <xf numFmtId="10" fontId="5" fillId="0" borderId="37" xfId="2" applyNumberFormat="1" applyFont="1" applyBorder="1" applyAlignment="1">
      <alignment horizontal="right"/>
    </xf>
    <xf numFmtId="0" fontId="6" fillId="0" borderId="54" xfId="0" applyFont="1" applyBorder="1"/>
    <xf numFmtId="0" fontId="20" fillId="0" borderId="54" xfId="0" applyFont="1" applyBorder="1" applyAlignment="1">
      <alignment horizontal="justify"/>
    </xf>
    <xf numFmtId="0" fontId="20" fillId="0" borderId="55" xfId="0" applyFont="1" applyBorder="1" applyAlignment="1">
      <alignment horizontal="justify"/>
    </xf>
    <xf numFmtId="0" fontId="17" fillId="10" borderId="53" xfId="0" applyFont="1" applyFill="1" applyBorder="1" applyAlignment="1">
      <alignment horizontal="center"/>
    </xf>
    <xf numFmtId="1" fontId="6" fillId="0" borderId="0" xfId="3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65" fontId="6" fillId="3" borderId="9" xfId="3" applyNumberFormat="1" applyFont="1" applyFill="1" applyBorder="1" applyAlignment="1">
      <alignment vertical="center"/>
    </xf>
    <xf numFmtId="165" fontId="6" fillId="0" borderId="10" xfId="3" applyFont="1" applyBorder="1" applyAlignment="1">
      <alignment vertical="center"/>
    </xf>
    <xf numFmtId="165" fontId="3" fillId="0" borderId="7" xfId="3" applyFont="1" applyBorder="1" applyAlignment="1">
      <alignment horizontal="right" vertical="center"/>
    </xf>
    <xf numFmtId="165" fontId="3" fillId="2" borderId="4" xfId="3" applyFont="1" applyFill="1" applyBorder="1" applyAlignment="1">
      <alignment horizontal="right" vertical="center"/>
    </xf>
    <xf numFmtId="168" fontId="3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3" fillId="0" borderId="36" xfId="0" applyNumberFormat="1" applyFont="1" applyBorder="1" applyAlignment="1">
      <alignment vertical="center"/>
    </xf>
    <xf numFmtId="165" fontId="3" fillId="0" borderId="11" xfId="3" applyFont="1" applyBorder="1" applyAlignment="1">
      <alignment vertical="center"/>
    </xf>
    <xf numFmtId="165" fontId="3" fillId="0" borderId="5" xfId="3" applyFont="1" applyBorder="1" applyAlignment="1">
      <alignment vertical="center"/>
    </xf>
    <xf numFmtId="9" fontId="3" fillId="3" borderId="7" xfId="2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0" borderId="9" xfId="3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167" fontId="6" fillId="0" borderId="1" xfId="3" applyNumberFormat="1" applyFont="1" applyBorder="1" applyAlignment="1">
      <alignment horizontal="center" vertical="center"/>
    </xf>
    <xf numFmtId="166" fontId="3" fillId="0" borderId="1" xfId="3" applyNumberFormat="1" applyFont="1" applyBorder="1" applyAlignment="1">
      <alignment horizontal="center" vertical="center"/>
    </xf>
    <xf numFmtId="167" fontId="3" fillId="0" borderId="1" xfId="3" applyNumberFormat="1" applyFont="1" applyBorder="1" applyAlignment="1">
      <alignment horizontal="center" vertical="center"/>
    </xf>
    <xf numFmtId="167" fontId="6" fillId="0" borderId="2" xfId="3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/>
    <xf numFmtId="169" fontId="18" fillId="0" borderId="48" xfId="0" applyNumberFormat="1" applyFont="1" applyBorder="1"/>
    <xf numFmtId="169" fontId="7" fillId="0" borderId="48" xfId="0" applyNumberFormat="1" applyFont="1" applyBorder="1"/>
    <xf numFmtId="169" fontId="7" fillId="0" borderId="31" xfId="0" applyNumberFormat="1" applyFont="1" applyBorder="1"/>
    <xf numFmtId="0" fontId="3" fillId="0" borderId="56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165" fontId="3" fillId="0" borderId="56" xfId="3" applyFont="1" applyBorder="1" applyAlignment="1">
      <alignment horizontal="center" vertical="center"/>
    </xf>
    <xf numFmtId="165" fontId="3" fillId="0" borderId="56" xfId="3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Fill="1"/>
    <xf numFmtId="0" fontId="7" fillId="0" borderId="23" xfId="0" applyFont="1" applyBorder="1"/>
    <xf numFmtId="0" fontId="7" fillId="0" borderId="1" xfId="0" applyFont="1" applyBorder="1"/>
    <xf numFmtId="0" fontId="7" fillId="0" borderId="20" xfId="0" applyFont="1" applyBorder="1"/>
    <xf numFmtId="0" fontId="5" fillId="0" borderId="23" xfId="0" applyFont="1" applyFill="1" applyBorder="1"/>
    <xf numFmtId="0" fontId="5" fillId="0" borderId="1" xfId="0" applyFont="1" applyFill="1" applyBorder="1"/>
    <xf numFmtId="0" fontId="5" fillId="0" borderId="1" xfId="0" applyFont="1" applyBorder="1"/>
    <xf numFmtId="170" fontId="24" fillId="0" borderId="20" xfId="3" applyNumberFormat="1" applyFont="1" applyBorder="1" applyAlignment="1">
      <alignment horizontal="center" vertical="center" wrapText="1"/>
    </xf>
    <xf numFmtId="171" fontId="5" fillId="0" borderId="20" xfId="0" applyNumberFormat="1" applyFont="1" applyBorder="1"/>
    <xf numFmtId="2" fontId="5" fillId="0" borderId="20" xfId="0" applyNumberFormat="1" applyFont="1" applyBorder="1"/>
    <xf numFmtId="0" fontId="5" fillId="0" borderId="24" xfId="0" applyFont="1" applyFill="1" applyBorder="1"/>
    <xf numFmtId="0" fontId="5" fillId="0" borderId="36" xfId="0" applyFont="1" applyBorder="1"/>
    <xf numFmtId="171" fontId="5" fillId="3" borderId="20" xfId="0" applyNumberFormat="1" applyFont="1" applyFill="1" applyBorder="1"/>
    <xf numFmtId="171" fontId="5" fillId="0" borderId="37" xfId="0" applyNumberFormat="1" applyFont="1" applyBorder="1"/>
    <xf numFmtId="0" fontId="17" fillId="0" borderId="1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172" fontId="5" fillId="3" borderId="20" xfId="0" applyNumberFormat="1" applyFont="1" applyFill="1" applyBorder="1"/>
    <xf numFmtId="0" fontId="5" fillId="0" borderId="23" xfId="0" applyFont="1" applyBorder="1" applyAlignment="1">
      <alignment horizontal="right"/>
    </xf>
    <xf numFmtId="0" fontId="31" fillId="0" borderId="0" xfId="0" applyFont="1"/>
    <xf numFmtId="0" fontId="1" fillId="0" borderId="2" xfId="0" applyFont="1" applyBorder="1" applyAlignment="1">
      <alignment vertical="center"/>
    </xf>
    <xf numFmtId="165" fontId="32" fillId="0" borderId="14" xfId="3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65" fontId="3" fillId="0" borderId="14" xfId="3" applyFont="1" applyBorder="1" applyAlignment="1">
      <alignment horizontal="left" vertical="center"/>
    </xf>
    <xf numFmtId="165" fontId="3" fillId="0" borderId="9" xfId="3" applyFont="1" applyBorder="1" applyAlignment="1">
      <alignment horizontal="left" vertical="center"/>
    </xf>
    <xf numFmtId="0" fontId="17" fillId="8" borderId="25" xfId="0" applyFont="1" applyFill="1" applyBorder="1" applyAlignment="1">
      <alignment horizontal="center" vertical="center"/>
    </xf>
    <xf numFmtId="0" fontId="17" fillId="8" borderId="26" xfId="0" applyFont="1" applyFill="1" applyBorder="1" applyAlignment="1">
      <alignment horizontal="center" vertical="center"/>
    </xf>
    <xf numFmtId="0" fontId="17" fillId="8" borderId="27" xfId="0" applyFont="1" applyFill="1" applyBorder="1" applyAlignment="1">
      <alignment horizontal="center" vertical="center"/>
    </xf>
    <xf numFmtId="0" fontId="7" fillId="8" borderId="44" xfId="0" applyFont="1" applyFill="1" applyBorder="1" applyAlignment="1">
      <alignment horizontal="center" vertical="center"/>
    </xf>
    <xf numFmtId="0" fontId="7" fillId="8" borderId="42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horizontal="center" vertical="center"/>
    </xf>
    <xf numFmtId="165" fontId="3" fillId="0" borderId="5" xfId="3" applyFont="1" applyBorder="1" applyAlignment="1">
      <alignment horizontal="center" vertical="center"/>
    </xf>
    <xf numFmtId="165" fontId="3" fillId="0" borderId="6" xfId="3" applyFont="1" applyBorder="1" applyAlignment="1">
      <alignment horizontal="center" vertical="center"/>
    </xf>
    <xf numFmtId="165" fontId="3" fillId="0" borderId="43" xfId="3" applyFont="1" applyBorder="1" applyAlignment="1">
      <alignment horizontal="center" vertical="center"/>
    </xf>
    <xf numFmtId="165" fontId="4" fillId="8" borderId="5" xfId="3" applyFont="1" applyFill="1" applyBorder="1" applyAlignment="1">
      <alignment horizontal="center" vertical="center"/>
    </xf>
    <xf numFmtId="165" fontId="4" fillId="8" borderId="6" xfId="3" applyFont="1" applyFill="1" applyBorder="1" applyAlignment="1">
      <alignment horizontal="center" vertical="center"/>
    </xf>
    <xf numFmtId="165" fontId="4" fillId="8" borderId="7" xfId="3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10" borderId="19" xfId="0" applyFont="1" applyFill="1" applyBorder="1" applyAlignment="1">
      <alignment horizontal="center"/>
    </xf>
    <xf numFmtId="0" fontId="17" fillId="10" borderId="46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9" fontId="7" fillId="0" borderId="21" xfId="2" applyFont="1" applyBorder="1" applyAlignment="1">
      <alignment horizontal="center"/>
    </xf>
    <xf numFmtId="9" fontId="7" fillId="0" borderId="22" xfId="2" applyFont="1" applyBorder="1" applyAlignment="1">
      <alignment horizontal="center"/>
    </xf>
    <xf numFmtId="9" fontId="7" fillId="0" borderId="12" xfId="2" applyFont="1" applyBorder="1" applyAlignment="1">
      <alignment horizontal="center"/>
    </xf>
    <xf numFmtId="0" fontId="4" fillId="10" borderId="25" xfId="0" applyFont="1" applyFill="1" applyBorder="1" applyAlignment="1">
      <alignment horizontal="center" vertical="center"/>
    </xf>
    <xf numFmtId="0" fontId="4" fillId="10" borderId="26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17" fillId="10" borderId="21" xfId="0" applyFont="1" applyFill="1" applyBorder="1" applyAlignment="1">
      <alignment horizontal="center"/>
    </xf>
    <xf numFmtId="0" fontId="17" fillId="10" borderId="22" xfId="0" applyFont="1" applyFill="1" applyBorder="1" applyAlignment="1">
      <alignment horizontal="center"/>
    </xf>
    <xf numFmtId="0" fontId="17" fillId="10" borderId="12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Porcentagem" xfId="2" builtinId="5"/>
    <cellStyle name="Separador de milhares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21"/>
  <sheetViews>
    <sheetView tabSelected="1" view="pageBreakPreview" topLeftCell="A7" zoomScaleSheetLayoutView="100" workbookViewId="0">
      <selection activeCell="A18" sqref="A18"/>
    </sheetView>
  </sheetViews>
  <sheetFormatPr defaultRowHeight="12.75"/>
  <cols>
    <col min="1" max="1" width="44.5703125" style="9" customWidth="1"/>
    <col min="2" max="2" width="16" style="9" bestFit="1" customWidth="1"/>
    <col min="3" max="3" width="11.85546875" style="9" customWidth="1"/>
    <col min="4" max="4" width="14.7109375" style="10" customWidth="1"/>
    <col min="5" max="5" width="15.42578125" style="10" customWidth="1"/>
    <col min="6" max="6" width="13.28515625" style="10" customWidth="1"/>
    <col min="7" max="7" width="28.140625" style="10" customWidth="1"/>
    <col min="8" max="8" width="9.140625" style="9"/>
    <col min="9" max="9" width="14.5703125" style="9" customWidth="1"/>
    <col min="10" max="10" width="13.42578125" style="9" customWidth="1"/>
    <col min="11" max="16384" width="9.140625" style="9"/>
  </cols>
  <sheetData>
    <row r="1" spans="1:7">
      <c r="A1" s="11"/>
    </row>
    <row r="2" spans="1:7">
      <c r="A2" s="141"/>
    </row>
    <row r="3" spans="1:7" s="4" customFormat="1" ht="15.6" customHeight="1">
      <c r="A3" s="7"/>
      <c r="C3" s="140"/>
      <c r="D3" s="140"/>
      <c r="E3" s="140"/>
      <c r="F3" s="140"/>
      <c r="G3" s="6"/>
    </row>
    <row r="4" spans="1:7" s="4" customFormat="1" ht="15.6" customHeight="1">
      <c r="A4" s="141"/>
      <c r="B4" s="140"/>
      <c r="C4" s="140"/>
      <c r="D4" s="140"/>
      <c r="E4" s="140"/>
      <c r="F4" s="140"/>
      <c r="G4" s="6"/>
    </row>
    <row r="5" spans="1:7" s="4" customFormat="1" ht="15.6" customHeight="1">
      <c r="A5" s="139"/>
      <c r="B5" s="140"/>
      <c r="C5" s="140"/>
      <c r="D5" s="140"/>
      <c r="E5" s="140"/>
      <c r="F5" s="140"/>
      <c r="G5" s="6"/>
    </row>
    <row r="6" spans="1:7" s="4" customFormat="1" ht="15.6" customHeight="1">
      <c r="A6" s="139"/>
      <c r="B6" s="140"/>
      <c r="C6" s="140"/>
      <c r="D6" s="140"/>
      <c r="E6" s="140"/>
      <c r="F6" s="140"/>
      <c r="G6" s="6"/>
    </row>
    <row r="7" spans="1:7" s="4" customFormat="1" ht="16.5" customHeight="1" thickBot="1">
      <c r="A7" s="7"/>
      <c r="B7" s="5"/>
      <c r="C7" s="5"/>
      <c r="D7" s="6"/>
      <c r="E7" s="6"/>
      <c r="F7" s="6"/>
      <c r="G7" s="6"/>
    </row>
    <row r="8" spans="1:7" s="8" customFormat="1" ht="18">
      <c r="A8" s="320" t="s">
        <v>342</v>
      </c>
      <c r="B8" s="321"/>
      <c r="C8" s="321"/>
      <c r="D8" s="321"/>
      <c r="E8" s="321"/>
      <c r="F8" s="322"/>
      <c r="G8" s="36"/>
    </row>
    <row r="9" spans="1:7" s="8" customFormat="1" ht="21.75" customHeight="1">
      <c r="A9" s="323" t="s">
        <v>45</v>
      </c>
      <c r="B9" s="324"/>
      <c r="C9" s="324"/>
      <c r="D9" s="324"/>
      <c r="E9" s="324"/>
      <c r="F9" s="325"/>
      <c r="G9" s="36"/>
    </row>
    <row r="10" spans="1:7" s="4" customFormat="1" ht="10.9" customHeight="1" thickBot="1">
      <c r="A10" s="152"/>
      <c r="B10" s="153"/>
      <c r="C10" s="153"/>
      <c r="D10" s="154"/>
      <c r="E10" s="154"/>
      <c r="F10" s="155"/>
      <c r="G10" s="6"/>
    </row>
    <row r="11" spans="1:7" s="4" customFormat="1" ht="15.75" customHeight="1" thickBot="1">
      <c r="A11" s="329" t="s">
        <v>212</v>
      </c>
      <c r="B11" s="330"/>
      <c r="C11" s="330"/>
      <c r="D11" s="330"/>
      <c r="E11" s="330"/>
      <c r="F11" s="331"/>
      <c r="G11" s="6"/>
    </row>
    <row r="12" spans="1:7" s="4" customFormat="1" ht="15.75" customHeight="1">
      <c r="A12" s="64" t="s">
        <v>211</v>
      </c>
      <c r="B12" s="40"/>
      <c r="C12" s="40"/>
      <c r="D12" s="265"/>
      <c r="E12" s="116" t="s">
        <v>40</v>
      </c>
      <c r="F12" s="41" t="s">
        <v>2</v>
      </c>
      <c r="G12" s="6"/>
    </row>
    <row r="13" spans="1:7" s="11" customFormat="1" ht="15.75" customHeight="1">
      <c r="A13" s="126" t="str">
        <f>A50</f>
        <v>1. Mão-de-obra</v>
      </c>
      <c r="B13" s="127"/>
      <c r="C13" s="128"/>
      <c r="D13" s="128"/>
      <c r="E13" s="262">
        <f>+F140</f>
        <v>7377.6156866668398</v>
      </c>
      <c r="F13" s="129">
        <f>IFERROR(E13/$E$33,0)</f>
        <v>0.18833911785006455</v>
      </c>
      <c r="G13" s="44"/>
    </row>
    <row r="14" spans="1:7" s="4" customFormat="1" ht="15.75" customHeight="1">
      <c r="A14" s="313" t="str">
        <f>A52</f>
        <v>1.1. Coletor Turno Dia</v>
      </c>
      <c r="B14" s="45"/>
      <c r="C14" s="47"/>
      <c r="D14" s="47"/>
      <c r="E14" s="263">
        <f>F63</f>
        <v>4172.4114797903994</v>
      </c>
      <c r="F14" s="58">
        <f>IFERROR(E14/$E$33,0)</f>
        <v>0.10651521179551147</v>
      </c>
      <c r="G14" s="6"/>
    </row>
    <row r="15" spans="1:7" s="4" customFormat="1" ht="15.75" customHeight="1">
      <c r="A15" s="49" t="str">
        <f>A65</f>
        <v>1.2. Coletor Turno Noite</v>
      </c>
      <c r="B15" s="45"/>
      <c r="C15" s="47"/>
      <c r="D15" s="47" t="s">
        <v>312</v>
      </c>
      <c r="E15" s="263">
        <f>F82</f>
        <v>0</v>
      </c>
      <c r="F15" s="58">
        <f t="shared" ref="F15:F32" si="0">IFERROR(E15/$E$33,0)</f>
        <v>0</v>
      </c>
      <c r="G15" s="6"/>
    </row>
    <row r="16" spans="1:7" s="4" customFormat="1" ht="15.75" customHeight="1">
      <c r="A16" s="49" t="str">
        <f>A84</f>
        <v>1.3. Motorista Turno do Dia</v>
      </c>
      <c r="B16" s="45"/>
      <c r="C16" s="47"/>
      <c r="D16" s="47"/>
      <c r="E16" s="263">
        <f>F97</f>
        <v>2416.0456068764402</v>
      </c>
      <c r="F16" s="58">
        <f t="shared" si="0"/>
        <v>6.1677907553112858E-2</v>
      </c>
      <c r="G16" s="6"/>
    </row>
    <row r="17" spans="1:7" s="4" customFormat="1" ht="15.75" customHeight="1">
      <c r="A17" s="49" t="str">
        <f>A99</f>
        <v>1.4. Motorista Turno Noite</v>
      </c>
      <c r="B17" s="45"/>
      <c r="C17" s="47"/>
      <c r="D17" s="47"/>
      <c r="E17" s="263">
        <f>F118</f>
        <v>0</v>
      </c>
      <c r="F17" s="58">
        <f t="shared" si="0"/>
        <v>0</v>
      </c>
      <c r="G17" s="6"/>
    </row>
    <row r="18" spans="1:7" s="4" customFormat="1" ht="15.75" customHeight="1">
      <c r="A18" s="49" t="str">
        <f>A120</f>
        <v>1.5. Vale Transporte</v>
      </c>
      <c r="B18" s="45"/>
      <c r="C18" s="47"/>
      <c r="D18" s="47"/>
      <c r="E18" s="263">
        <f>F126</f>
        <v>-35.801399999999987</v>
      </c>
      <c r="F18" s="58">
        <f t="shared" si="0"/>
        <v>-9.1395436956457341E-4</v>
      </c>
      <c r="G18" s="6"/>
    </row>
    <row r="19" spans="1:7" s="4" customFormat="1" ht="15.75" customHeight="1">
      <c r="A19" s="49" t="str">
        <f>A128</f>
        <v>1.6. Vale-refeição (diário)</v>
      </c>
      <c r="B19" s="45"/>
      <c r="C19" s="47"/>
      <c r="D19" s="47"/>
      <c r="E19" s="263">
        <f>F132</f>
        <v>824.96</v>
      </c>
      <c r="F19" s="58">
        <f t="shared" si="0"/>
        <v>2.1059952871004785E-2</v>
      </c>
      <c r="G19" s="6"/>
    </row>
    <row r="20" spans="1:7" s="4" customFormat="1" ht="15.75" customHeight="1">
      <c r="A20" s="49" t="str">
        <f>A134</f>
        <v>1.7. Auxílio Alimentação (mensal)</v>
      </c>
      <c r="B20" s="45"/>
      <c r="C20" s="47"/>
      <c r="D20" s="47"/>
      <c r="E20" s="263">
        <f>F138</f>
        <v>0</v>
      </c>
      <c r="F20" s="58">
        <f t="shared" si="0"/>
        <v>0</v>
      </c>
      <c r="G20" s="6"/>
    </row>
    <row r="21" spans="1:7" s="11" customFormat="1" ht="15.75" customHeight="1">
      <c r="A21" s="318" t="str">
        <f>A142</f>
        <v>2. Uniformes e Equipamentos de Proteção Individual</v>
      </c>
      <c r="B21" s="319"/>
      <c r="C21" s="319"/>
      <c r="D21" s="128"/>
      <c r="E21" s="262">
        <f>+F174</f>
        <v>215.81175000000002</v>
      </c>
      <c r="F21" s="129">
        <f t="shared" si="0"/>
        <v>5.509340191050557E-3</v>
      </c>
      <c r="G21" s="44"/>
    </row>
    <row r="22" spans="1:7" s="11" customFormat="1" ht="15.75" customHeight="1">
      <c r="A22" s="137" t="str">
        <f>A176</f>
        <v>3. Veículos e Equipamentos</v>
      </c>
      <c r="B22" s="138"/>
      <c r="C22" s="128"/>
      <c r="D22" s="128"/>
      <c r="E22" s="262">
        <f>+F346</f>
        <v>23957.39348853831</v>
      </c>
      <c r="F22" s="129">
        <f t="shared" si="0"/>
        <v>0.61159520192583128</v>
      </c>
      <c r="G22" s="44"/>
    </row>
    <row r="23" spans="1:7" s="4" customFormat="1" ht="15.75" customHeight="1">
      <c r="A23" s="65" t="str">
        <f>A178</f>
        <v>3.1. Veículo Coletor Compactador</v>
      </c>
      <c r="B23" s="46"/>
      <c r="C23" s="47"/>
      <c r="D23" s="47"/>
      <c r="E23" s="263">
        <f>SUM(E24:E29)</f>
        <v>14270.246593184005</v>
      </c>
      <c r="F23" s="145">
        <f t="shared" si="0"/>
        <v>0.36429732436732903</v>
      </c>
      <c r="G23" s="6"/>
    </row>
    <row r="24" spans="1:7" s="4" customFormat="1" ht="15.75" customHeight="1">
      <c r="A24" s="65" t="str">
        <f>A180</f>
        <v>3.1.1. Depreciação</v>
      </c>
      <c r="B24" s="46"/>
      <c r="C24" s="47"/>
      <c r="D24" s="47"/>
      <c r="E24" s="263">
        <f>F194</f>
        <v>4684.9539644159995</v>
      </c>
      <c r="F24" s="145">
        <f t="shared" si="0"/>
        <v>0.11959962870130428</v>
      </c>
      <c r="G24" s="6"/>
    </row>
    <row r="25" spans="1:7" s="4" customFormat="1" ht="15.75" customHeight="1">
      <c r="A25" s="65" t="str">
        <f>A196</f>
        <v>3.1.2. Remuneração do Capital</v>
      </c>
      <c r="B25" s="46"/>
      <c r="C25" s="47"/>
      <c r="D25" s="47"/>
      <c r="E25" s="263">
        <f>F210</f>
        <v>2102.638303006102</v>
      </c>
      <c r="F25" s="145">
        <f t="shared" si="0"/>
        <v>5.367710381846149E-2</v>
      </c>
      <c r="G25" s="6"/>
    </row>
    <row r="26" spans="1:7" s="4" customFormat="1" ht="15.75" customHeight="1">
      <c r="A26" s="65" t="str">
        <f>A212</f>
        <v>3.1.3. Impostos e Seguros</v>
      </c>
      <c r="B26" s="46"/>
      <c r="C26" s="47"/>
      <c r="D26" s="47"/>
      <c r="E26" s="263">
        <f>F218</f>
        <v>199.32339900000002</v>
      </c>
      <c r="F26" s="145">
        <f t="shared" si="0"/>
        <v>5.0884180918207948E-3</v>
      </c>
      <c r="G26" s="6"/>
    </row>
    <row r="27" spans="1:7" s="4" customFormat="1" ht="15.75" customHeight="1">
      <c r="A27" s="65" t="str">
        <f>A220</f>
        <v>3.1.4. Consumos</v>
      </c>
      <c r="B27" s="46"/>
      <c r="C27" s="47"/>
      <c r="D27" s="47"/>
      <c r="E27" s="263">
        <f>F236</f>
        <v>4771.9749267619036</v>
      </c>
      <c r="F27" s="145">
        <f t="shared" si="0"/>
        <v>0.12182113927853738</v>
      </c>
      <c r="G27" s="6"/>
    </row>
    <row r="28" spans="1:7" s="4" customFormat="1" ht="15.75" customHeight="1">
      <c r="A28" s="65" t="str">
        <f>A297</f>
        <v>3.2.5. Manutenção</v>
      </c>
      <c r="B28" s="46"/>
      <c r="C28" s="47"/>
      <c r="D28" s="47"/>
      <c r="E28" s="263">
        <f>F300</f>
        <v>1912.1999999999998</v>
      </c>
      <c r="F28" s="145">
        <f t="shared" si="0"/>
        <v>4.881550848518152E-2</v>
      </c>
      <c r="G28" s="6"/>
    </row>
    <row r="29" spans="1:7" s="4" customFormat="1" ht="15.75" customHeight="1">
      <c r="A29" s="65" t="str">
        <f>A302</f>
        <v>3.2.6. Pneus</v>
      </c>
      <c r="B29" s="46"/>
      <c r="C29" s="47"/>
      <c r="D29" s="47"/>
      <c r="E29" s="263">
        <f>F309</f>
        <v>599.15599999999995</v>
      </c>
      <c r="F29" s="145">
        <f t="shared" si="0"/>
        <v>1.5295525992023544E-2</v>
      </c>
      <c r="G29" s="6"/>
    </row>
    <row r="30" spans="1:7" s="11" customFormat="1" ht="15.75" customHeight="1">
      <c r="A30" s="137" t="str">
        <f>A348</f>
        <v>5. Ferramentas e Materiais de Consumo</v>
      </c>
      <c r="B30" s="138"/>
      <c r="C30" s="128"/>
      <c r="D30" s="128"/>
      <c r="E30" s="262">
        <f>+F358</f>
        <v>73.666666666666657</v>
      </c>
      <c r="F30" s="129">
        <f t="shared" si="0"/>
        <v>1.8805960630382309E-3</v>
      </c>
      <c r="G30" s="44"/>
    </row>
    <row r="31" spans="1:7" s="11" customFormat="1" ht="15.75" customHeight="1">
      <c r="A31" s="137" t="str">
        <f>A360</f>
        <v>6. Monitoramento da Frota</v>
      </c>
      <c r="B31" s="138"/>
      <c r="C31" s="128"/>
      <c r="D31" s="128"/>
      <c r="E31" s="262">
        <f>+F369</f>
        <v>642.38019999999995</v>
      </c>
      <c r="F31" s="129">
        <f t="shared" si="0"/>
        <v>1.6398972965073005E-2</v>
      </c>
      <c r="G31" s="44"/>
    </row>
    <row r="32" spans="1:7" s="11" customFormat="1" ht="15.75" customHeight="1" thickBot="1">
      <c r="A32" s="137" t="str">
        <f>A373</f>
        <v>7. Benefícios e Despesas Indiretas - BDI</v>
      </c>
      <c r="B32" s="138"/>
      <c r="C32" s="128"/>
      <c r="D32" s="128"/>
      <c r="E32" s="264">
        <f>+F379</f>
        <v>6905.1097074605686</v>
      </c>
      <c r="F32" s="129">
        <f t="shared" si="0"/>
        <v>0.17627677100494232</v>
      </c>
      <c r="G32" s="44"/>
    </row>
    <row r="33" spans="1:7" s="4" customFormat="1" ht="15.75" customHeight="1" thickBot="1">
      <c r="A33" s="42" t="s">
        <v>258</v>
      </c>
      <c r="B33" s="43"/>
      <c r="C33" s="26"/>
      <c r="D33" s="26"/>
      <c r="E33" s="115">
        <f>E13+E21+E22+E30+E31+E32</f>
        <v>39171.977499332388</v>
      </c>
      <c r="F33" s="144">
        <f>F13+F21+F22+F30+F31+F32</f>
        <v>0.99999999999999989</v>
      </c>
      <c r="G33" s="6"/>
    </row>
    <row r="35" spans="1:7" ht="13.5" thickBot="1"/>
    <row r="36" spans="1:7" s="4" customFormat="1" ht="15" customHeight="1" thickBot="1">
      <c r="A36" s="329" t="s">
        <v>98</v>
      </c>
      <c r="B36" s="330"/>
      <c r="C36" s="330"/>
      <c r="D36" s="330"/>
      <c r="E36" s="331"/>
      <c r="F36" s="10"/>
      <c r="G36" s="6"/>
    </row>
    <row r="37" spans="1:7" s="4" customFormat="1" ht="15" customHeight="1" thickBot="1">
      <c r="A37" s="326" t="s">
        <v>41</v>
      </c>
      <c r="B37" s="327"/>
      <c r="C37" s="327"/>
      <c r="D37" s="328"/>
      <c r="E37" s="48" t="s">
        <v>42</v>
      </c>
      <c r="F37" s="10"/>
      <c r="G37" s="6"/>
    </row>
    <row r="38" spans="1:7" s="4" customFormat="1" ht="15" customHeight="1">
      <c r="A38" s="73" t="str">
        <f>+A52</f>
        <v>1.1. Coletor Turno Dia</v>
      </c>
      <c r="B38" s="74"/>
      <c r="C38" s="74"/>
      <c r="D38" s="75"/>
      <c r="E38" s="76">
        <f>C62</f>
        <v>2</v>
      </c>
      <c r="F38" s="10"/>
      <c r="G38" s="6"/>
    </row>
    <row r="39" spans="1:7" s="4" customFormat="1" ht="15" customHeight="1">
      <c r="A39" s="67" t="str">
        <f>+A65</f>
        <v>1.2. Coletor Turno Noite</v>
      </c>
      <c r="B39" s="66"/>
      <c r="C39" s="66"/>
      <c r="D39" s="77"/>
      <c r="E39" s="70">
        <f>C81</f>
        <v>0</v>
      </c>
      <c r="F39" s="10"/>
      <c r="G39" s="6"/>
    </row>
    <row r="40" spans="1:7" s="4" customFormat="1" ht="15" customHeight="1">
      <c r="A40" s="67" t="str">
        <f>+A84</f>
        <v>1.3. Motorista Turno do Dia</v>
      </c>
      <c r="B40" s="66"/>
      <c r="C40" s="66"/>
      <c r="D40" s="77"/>
      <c r="E40" s="70">
        <f>C96</f>
        <v>1</v>
      </c>
      <c r="F40" s="10"/>
      <c r="G40" s="6"/>
    </row>
    <row r="41" spans="1:7" s="4" customFormat="1" ht="15" customHeight="1">
      <c r="A41" s="67" t="str">
        <f>+A99</f>
        <v>1.4. Motorista Turno Noite</v>
      </c>
      <c r="B41" s="66"/>
      <c r="C41" s="66"/>
      <c r="D41" s="77"/>
      <c r="E41" s="70">
        <f>C117</f>
        <v>0</v>
      </c>
      <c r="F41" s="10"/>
      <c r="G41" s="6"/>
    </row>
    <row r="42" spans="1:7" s="4" customFormat="1" ht="15" customHeight="1" thickBot="1">
      <c r="A42" s="71" t="s">
        <v>60</v>
      </c>
      <c r="B42" s="72"/>
      <c r="C42" s="72"/>
      <c r="D42" s="78"/>
      <c r="E42" s="79">
        <f>SUM(E38:E41)</f>
        <v>3</v>
      </c>
      <c r="F42" s="10"/>
      <c r="G42" s="6"/>
    </row>
    <row r="43" spans="1:7" s="4" customFormat="1" ht="15" customHeight="1" thickBot="1">
      <c r="A43" s="130"/>
      <c r="B43" s="131"/>
      <c r="C43" s="59"/>
      <c r="D43" s="59"/>
      <c r="E43" s="132"/>
      <c r="F43" s="10"/>
      <c r="G43" s="6"/>
    </row>
    <row r="44" spans="1:7" s="4" customFormat="1" ht="15" customHeight="1">
      <c r="A44" s="316" t="s">
        <v>57</v>
      </c>
      <c r="B44" s="317"/>
      <c r="C44" s="317"/>
      <c r="D44" s="317"/>
      <c r="E44" s="48" t="s">
        <v>42</v>
      </c>
      <c r="F44" s="9"/>
      <c r="G44" s="6"/>
    </row>
    <row r="45" spans="1:7" s="4" customFormat="1" ht="15" customHeight="1" thickBot="1">
      <c r="A45" s="133" t="str">
        <f>+A178</f>
        <v>3.1. Veículo Coletor Compactador</v>
      </c>
      <c r="B45" s="134"/>
      <c r="C45" s="134"/>
      <c r="D45" s="135"/>
      <c r="E45" s="136">
        <f>C193</f>
        <v>1</v>
      </c>
      <c r="F45" s="9"/>
      <c r="G45" s="6"/>
    </row>
    <row r="46" spans="1:7" s="4" customFormat="1" ht="15" customHeight="1">
      <c r="A46" s="59"/>
      <c r="B46" s="59"/>
      <c r="C46" s="59"/>
      <c r="D46" s="54"/>
      <c r="E46" s="255"/>
      <c r="F46" s="9"/>
      <c r="G46" s="6"/>
    </row>
    <row r="47" spans="1:7" s="4" customFormat="1" ht="13.5" thickBot="1">
      <c r="A47" s="59"/>
      <c r="B47" s="59"/>
      <c r="C47" s="59"/>
      <c r="D47" s="54"/>
      <c r="E47" s="68"/>
      <c r="F47" s="9"/>
      <c r="G47" s="6"/>
    </row>
    <row r="48" spans="1:7" s="11" customFormat="1" ht="15.75" customHeight="1" thickBot="1">
      <c r="A48" s="266" t="s">
        <v>206</v>
      </c>
      <c r="B48" s="267">
        <v>0.66659999999999997</v>
      </c>
      <c r="C48" s="35" t="s">
        <v>350</v>
      </c>
      <c r="D48" s="34"/>
      <c r="E48" s="157"/>
      <c r="G48" s="44"/>
    </row>
    <row r="49" spans="1:7" s="4" customFormat="1" ht="15.75" customHeight="1">
      <c r="A49" s="59" t="s">
        <v>351</v>
      </c>
      <c r="B49" s="59"/>
      <c r="C49" s="59"/>
      <c r="D49" s="54"/>
      <c r="E49" s="68"/>
      <c r="F49" s="9"/>
      <c r="G49" s="6"/>
    </row>
    <row r="50" spans="1:7" ht="13.15" customHeight="1">
      <c r="A50" s="11" t="s">
        <v>49</v>
      </c>
    </row>
    <row r="51" spans="1:7" ht="11.25" customHeight="1"/>
    <row r="52" spans="1:7" ht="13.9" customHeight="1" thickBot="1">
      <c r="A52" s="9" t="s">
        <v>101</v>
      </c>
    </row>
    <row r="53" spans="1:7" ht="13.9" customHeight="1" thickBot="1">
      <c r="A53" s="60" t="s">
        <v>64</v>
      </c>
      <c r="B53" s="61" t="s">
        <v>65</v>
      </c>
      <c r="C53" s="61" t="s">
        <v>42</v>
      </c>
      <c r="D53" s="62" t="s">
        <v>254</v>
      </c>
      <c r="E53" s="62" t="s">
        <v>66</v>
      </c>
      <c r="F53" s="63" t="s">
        <v>67</v>
      </c>
    </row>
    <row r="54" spans="1:7" ht="13.15" customHeight="1">
      <c r="A54" s="13" t="s">
        <v>228</v>
      </c>
      <c r="B54" s="14" t="s">
        <v>8</v>
      </c>
      <c r="C54" s="14">
        <v>1</v>
      </c>
      <c r="D54" s="87">
        <v>1278.2</v>
      </c>
      <c r="E54" s="15">
        <f>C54*D54</f>
        <v>1278.2</v>
      </c>
    </row>
    <row r="55" spans="1:7">
      <c r="A55" s="16" t="s">
        <v>36</v>
      </c>
      <c r="B55" s="17" t="s">
        <v>0</v>
      </c>
      <c r="C55" s="88">
        <v>0</v>
      </c>
      <c r="D55" s="18">
        <f>D54/220*2</f>
        <v>11.620000000000001</v>
      </c>
      <c r="E55" s="18">
        <f>C55*D55</f>
        <v>0</v>
      </c>
      <c r="G55" s="10" t="s">
        <v>270</v>
      </c>
    </row>
    <row r="56" spans="1:7" ht="13.15" customHeight="1">
      <c r="A56" s="16" t="s">
        <v>37</v>
      </c>
      <c r="B56" s="17" t="s">
        <v>0</v>
      </c>
      <c r="C56" s="88">
        <v>0</v>
      </c>
      <c r="D56" s="18">
        <f>D54/220*1.5</f>
        <v>8.7149999999999999</v>
      </c>
      <c r="E56" s="18">
        <f>C56*D56</f>
        <v>0</v>
      </c>
      <c r="G56" s="10" t="s">
        <v>272</v>
      </c>
    </row>
    <row r="57" spans="1:7" ht="13.15" customHeight="1">
      <c r="A57" s="16" t="s">
        <v>235</v>
      </c>
      <c r="B57" s="17" t="s">
        <v>35</v>
      </c>
      <c r="D57" s="18">
        <f>63/302*(SUM(E55:E56))</f>
        <v>0</v>
      </c>
      <c r="E57" s="18">
        <f>D57</f>
        <v>0</v>
      </c>
      <c r="G57" s="10" t="s">
        <v>234</v>
      </c>
    </row>
    <row r="58" spans="1:7">
      <c r="A58" s="16" t="s">
        <v>1</v>
      </c>
      <c r="B58" s="17" t="s">
        <v>2</v>
      </c>
      <c r="C58" s="17">
        <v>40</v>
      </c>
      <c r="D58" s="83">
        <f>SUM(E54:E57)</f>
        <v>1278.2</v>
      </c>
      <c r="E58" s="18">
        <f>C58*D58/100</f>
        <v>511.28</v>
      </c>
    </row>
    <row r="59" spans="1:7">
      <c r="A59" s="117" t="s">
        <v>3</v>
      </c>
      <c r="B59" s="118"/>
      <c r="C59" s="118"/>
      <c r="D59" s="119"/>
      <c r="E59" s="120">
        <f>SUM(E54:E58)</f>
        <v>1789.48</v>
      </c>
    </row>
    <row r="60" spans="1:7">
      <c r="A60" s="16" t="s">
        <v>4</v>
      </c>
      <c r="B60" s="17" t="s">
        <v>2</v>
      </c>
      <c r="C60" s="142">
        <f>'2.Encargos Sociais'!$C$34*100</f>
        <v>74.890000000000015</v>
      </c>
      <c r="D60" s="18">
        <f>E59</f>
        <v>1789.48</v>
      </c>
      <c r="E60" s="18">
        <f>D60*C60/100</f>
        <v>1340.1415720000002</v>
      </c>
    </row>
    <row r="61" spans="1:7">
      <c r="A61" s="117" t="s">
        <v>74</v>
      </c>
      <c r="B61" s="118"/>
      <c r="C61" s="118"/>
      <c r="D61" s="119"/>
      <c r="E61" s="120">
        <f>E59+E60</f>
        <v>3129.621572</v>
      </c>
    </row>
    <row r="62" spans="1:7" ht="13.5" thickBot="1">
      <c r="A62" s="16" t="s">
        <v>5</v>
      </c>
      <c r="B62" s="17" t="s">
        <v>6</v>
      </c>
      <c r="C62" s="86">
        <v>2</v>
      </c>
      <c r="D62" s="18">
        <f>E61</f>
        <v>3129.621572</v>
      </c>
      <c r="E62" s="18">
        <f>C62*D62</f>
        <v>6259.243144</v>
      </c>
      <c r="G62" s="6"/>
    </row>
    <row r="63" spans="1:7" ht="13.9" customHeight="1" thickBot="1">
      <c r="D63" s="124" t="s">
        <v>205</v>
      </c>
      <c r="E63" s="50">
        <f>$B$48</f>
        <v>0.66659999999999997</v>
      </c>
      <c r="F63" s="125">
        <f>E62*E63</f>
        <v>4172.4114797903994</v>
      </c>
      <c r="G63" s="6"/>
    </row>
    <row r="64" spans="1:7" ht="11.25" customHeight="1"/>
    <row r="65" spans="1:7" ht="13.5" thickBot="1">
      <c r="A65" s="9" t="s">
        <v>90</v>
      </c>
    </row>
    <row r="66" spans="1:7" ht="13.5" thickBot="1">
      <c r="A66" s="60" t="s">
        <v>64</v>
      </c>
      <c r="B66" s="61" t="s">
        <v>65</v>
      </c>
      <c r="C66" s="61" t="s">
        <v>42</v>
      </c>
      <c r="D66" s="62" t="s">
        <v>254</v>
      </c>
      <c r="E66" s="62" t="s">
        <v>66</v>
      </c>
      <c r="F66" s="63" t="s">
        <v>67</v>
      </c>
    </row>
    <row r="67" spans="1:7">
      <c r="A67" s="13" t="s">
        <v>228</v>
      </c>
      <c r="B67" s="14" t="s">
        <v>8</v>
      </c>
      <c r="C67" s="14">
        <v>1</v>
      </c>
      <c r="D67" s="15">
        <f>D54</f>
        <v>1278.2</v>
      </c>
      <c r="E67" s="15">
        <f>C67*D67</f>
        <v>1278.2</v>
      </c>
    </row>
    <row r="68" spans="1:7">
      <c r="A68" s="16" t="s">
        <v>7</v>
      </c>
      <c r="B68" s="17" t="s">
        <v>99</v>
      </c>
      <c r="C68" s="88"/>
      <c r="D68" s="18"/>
      <c r="E68" s="18"/>
    </row>
    <row r="69" spans="1:7">
      <c r="A69" s="16"/>
      <c r="B69" s="17" t="s">
        <v>104</v>
      </c>
      <c r="C69" s="121">
        <f>C68*8/7</f>
        <v>0</v>
      </c>
      <c r="D69" s="18">
        <f>D67/220*0.2</f>
        <v>1.1620000000000001</v>
      </c>
      <c r="E69" s="18">
        <f>C68*D69</f>
        <v>0</v>
      </c>
    </row>
    <row r="70" spans="1:7">
      <c r="A70" s="16" t="s">
        <v>36</v>
      </c>
      <c r="B70" s="17" t="s">
        <v>0</v>
      </c>
      <c r="C70" s="88"/>
      <c r="D70" s="18">
        <f>D67/220*2</f>
        <v>11.620000000000001</v>
      </c>
      <c r="E70" s="18">
        <f>C70*D70</f>
        <v>0</v>
      </c>
      <c r="G70" s="10" t="s">
        <v>270</v>
      </c>
    </row>
    <row r="71" spans="1:7">
      <c r="A71" s="16" t="s">
        <v>100</v>
      </c>
      <c r="B71" s="17" t="s">
        <v>99</v>
      </c>
      <c r="C71" s="88"/>
      <c r="D71" s="18"/>
      <c r="E71" s="18"/>
      <c r="G71" s="10" t="s">
        <v>271</v>
      </c>
    </row>
    <row r="72" spans="1:7">
      <c r="A72" s="16"/>
      <c r="B72" s="17" t="s">
        <v>104</v>
      </c>
      <c r="C72" s="121">
        <f>C71*8/7</f>
        <v>0</v>
      </c>
      <c r="D72" s="18">
        <f>D67/220*2*1.2</f>
        <v>13.944000000000001</v>
      </c>
      <c r="E72" s="18">
        <f>C72*D72</f>
        <v>0</v>
      </c>
      <c r="G72" s="10" t="s">
        <v>271</v>
      </c>
    </row>
    <row r="73" spans="1:7">
      <c r="A73" s="16" t="s">
        <v>37</v>
      </c>
      <c r="B73" s="17" t="s">
        <v>0</v>
      </c>
      <c r="C73" s="88"/>
      <c r="D73" s="18">
        <f>D67/220*1.5</f>
        <v>8.7149999999999999</v>
      </c>
      <c r="E73" s="18">
        <f>C73*D73</f>
        <v>0</v>
      </c>
      <c r="G73" s="10" t="s">
        <v>272</v>
      </c>
    </row>
    <row r="74" spans="1:7">
      <c r="A74" s="16" t="s">
        <v>233</v>
      </c>
      <c r="B74" s="17" t="s">
        <v>99</v>
      </c>
      <c r="C74" s="88"/>
      <c r="D74" s="18"/>
      <c r="E74" s="18"/>
      <c r="G74" s="10" t="s">
        <v>273</v>
      </c>
    </row>
    <row r="75" spans="1:7">
      <c r="A75" s="16"/>
      <c r="B75" s="17" t="s">
        <v>104</v>
      </c>
      <c r="C75" s="18">
        <f>C74*8/7</f>
        <v>0</v>
      </c>
      <c r="D75" s="18">
        <f>D67/220*1.5*1.2</f>
        <v>10.458</v>
      </c>
      <c r="E75" s="18">
        <f>C75*D75</f>
        <v>0</v>
      </c>
      <c r="G75" s="10" t="s">
        <v>273</v>
      </c>
    </row>
    <row r="76" spans="1:7" ht="13.15" customHeight="1">
      <c r="A76" s="16" t="s">
        <v>235</v>
      </c>
      <c r="B76" s="17" t="s">
        <v>35</v>
      </c>
      <c r="D76" s="18">
        <f>63/302*(SUM(E70:E75))</f>
        <v>0</v>
      </c>
      <c r="E76" s="18">
        <f>D76</f>
        <v>0</v>
      </c>
      <c r="G76" s="10" t="s">
        <v>234</v>
      </c>
    </row>
    <row r="77" spans="1:7">
      <c r="A77" s="16" t="s">
        <v>1</v>
      </c>
      <c r="B77" s="17" t="s">
        <v>2</v>
      </c>
      <c r="C77" s="17">
        <f>+C58</f>
        <v>40</v>
      </c>
      <c r="D77" s="83">
        <f>SUM(E67:E76)</f>
        <v>1278.2</v>
      </c>
      <c r="E77" s="18">
        <f>C77*D77/100</f>
        <v>511.28</v>
      </c>
    </row>
    <row r="78" spans="1:7">
      <c r="A78" s="117" t="s">
        <v>3</v>
      </c>
      <c r="B78" s="118"/>
      <c r="C78" s="118"/>
      <c r="D78" s="119"/>
      <c r="E78" s="120">
        <f>SUM(E67:E77)</f>
        <v>1789.48</v>
      </c>
    </row>
    <row r="79" spans="1:7">
      <c r="A79" s="16" t="s">
        <v>4</v>
      </c>
      <c r="B79" s="17" t="s">
        <v>2</v>
      </c>
      <c r="C79" s="142">
        <f>'2.Encargos Sociais'!$C$34*100</f>
        <v>74.890000000000015</v>
      </c>
      <c r="D79" s="18">
        <f>E78</f>
        <v>1789.48</v>
      </c>
      <c r="E79" s="18">
        <f>D79*C79/100</f>
        <v>1340.1415720000002</v>
      </c>
    </row>
    <row r="80" spans="1:7">
      <c r="A80" s="117" t="s">
        <v>74</v>
      </c>
      <c r="B80" s="118"/>
      <c r="C80" s="118"/>
      <c r="D80" s="119"/>
      <c r="E80" s="120">
        <f>E78+E79</f>
        <v>3129.621572</v>
      </c>
    </row>
    <row r="81" spans="1:7" ht="13.5" thickBot="1">
      <c r="A81" s="16" t="s">
        <v>5</v>
      </c>
      <c r="B81" s="17" t="s">
        <v>6</v>
      </c>
      <c r="C81" s="86">
        <v>0</v>
      </c>
      <c r="D81" s="18">
        <f>E80</f>
        <v>3129.621572</v>
      </c>
      <c r="E81" s="18">
        <f>C81*D81</f>
        <v>0</v>
      </c>
    </row>
    <row r="82" spans="1:7" ht="13.5" thickBot="1">
      <c r="D82" s="124" t="s">
        <v>205</v>
      </c>
      <c r="E82" s="50">
        <f>$B$48</f>
        <v>0.66659999999999997</v>
      </c>
      <c r="F82" s="125">
        <f>E81*E82</f>
        <v>0</v>
      </c>
    </row>
    <row r="83" spans="1:7" ht="11.25" customHeight="1"/>
    <row r="84" spans="1:7" ht="13.5" thickBot="1">
      <c r="A84" s="9" t="s">
        <v>102</v>
      </c>
    </row>
    <row r="85" spans="1:7" s="12" customFormat="1" ht="13.15" customHeight="1" thickBot="1">
      <c r="A85" s="60" t="s">
        <v>64</v>
      </c>
      <c r="B85" s="61" t="s">
        <v>65</v>
      </c>
      <c r="C85" s="61" t="s">
        <v>42</v>
      </c>
      <c r="D85" s="62" t="s">
        <v>254</v>
      </c>
      <c r="E85" s="62" t="s">
        <v>66</v>
      </c>
      <c r="F85" s="63" t="s">
        <v>67</v>
      </c>
      <c r="G85" s="10"/>
    </row>
    <row r="86" spans="1:7">
      <c r="A86" s="13" t="s">
        <v>231</v>
      </c>
      <c r="B86" s="14" t="s">
        <v>8</v>
      </c>
      <c r="C86" s="14">
        <v>1</v>
      </c>
      <c r="D86" s="87">
        <v>1480.29</v>
      </c>
      <c r="E86" s="15">
        <f>C86*D86</f>
        <v>1480.29</v>
      </c>
    </row>
    <row r="87" spans="1:7">
      <c r="A87" s="13" t="s">
        <v>232</v>
      </c>
      <c r="B87" s="14" t="s">
        <v>8</v>
      </c>
      <c r="C87" s="14">
        <v>1</v>
      </c>
      <c r="D87" s="87">
        <v>998</v>
      </c>
      <c r="E87" s="15"/>
    </row>
    <row r="88" spans="1:7">
      <c r="A88" s="16" t="s">
        <v>36</v>
      </c>
      <c r="B88" s="17" t="s">
        <v>0</v>
      </c>
      <c r="C88" s="88">
        <v>0</v>
      </c>
      <c r="D88" s="18">
        <f>D86/220*2</f>
        <v>13.457181818181818</v>
      </c>
      <c r="E88" s="18">
        <f>C88*D88</f>
        <v>0</v>
      </c>
      <c r="G88" s="10" t="s">
        <v>270</v>
      </c>
    </row>
    <row r="89" spans="1:7">
      <c r="A89" s="16" t="s">
        <v>37</v>
      </c>
      <c r="B89" s="17" t="s">
        <v>0</v>
      </c>
      <c r="C89" s="88">
        <v>0</v>
      </c>
      <c r="D89" s="18">
        <f>D86/220*1.5</f>
        <v>10.092886363636364</v>
      </c>
      <c r="E89" s="18">
        <f>C89*D89</f>
        <v>0</v>
      </c>
      <c r="G89" s="10" t="s">
        <v>272</v>
      </c>
    </row>
    <row r="90" spans="1:7" ht="13.15" customHeight="1">
      <c r="A90" s="16" t="s">
        <v>235</v>
      </c>
      <c r="B90" s="17" t="s">
        <v>35</v>
      </c>
      <c r="D90" s="18">
        <f>63/302*(SUM(E88:E89))</f>
        <v>0</v>
      </c>
      <c r="E90" s="18">
        <f>D90</f>
        <v>0</v>
      </c>
      <c r="G90" s="10" t="s">
        <v>234</v>
      </c>
    </row>
    <row r="91" spans="1:7">
      <c r="A91" s="16" t="s">
        <v>230</v>
      </c>
      <c r="B91" s="17"/>
      <c r="C91" s="90">
        <v>2</v>
      </c>
      <c r="D91" s="18"/>
      <c r="E91" s="18"/>
    </row>
    <row r="92" spans="1:7">
      <c r="A92" s="16" t="s">
        <v>1</v>
      </c>
      <c r="B92" s="17" t="s">
        <v>2</v>
      </c>
      <c r="C92" s="86">
        <v>40</v>
      </c>
      <c r="D92" s="83">
        <f>IF(C91=2,SUM(E86:E90),IF(C91=1,(SUM(E86:E90))*D87/D86,0))</f>
        <v>1480.29</v>
      </c>
      <c r="E92" s="18">
        <f>C92*D92/100</f>
        <v>592.11599999999999</v>
      </c>
    </row>
    <row r="93" spans="1:7" s="11" customFormat="1">
      <c r="A93" s="103" t="s">
        <v>3</v>
      </c>
      <c r="B93" s="118"/>
      <c r="C93" s="118"/>
      <c r="D93" s="119"/>
      <c r="E93" s="105">
        <f>SUM(E86:E92)</f>
        <v>2072.4059999999999</v>
      </c>
      <c r="F93" s="44"/>
      <c r="G93" s="44"/>
    </row>
    <row r="94" spans="1:7">
      <c r="A94" s="16" t="s">
        <v>4</v>
      </c>
      <c r="B94" s="17" t="s">
        <v>2</v>
      </c>
      <c r="C94" s="142">
        <f>'2.Encargos Sociais'!$C$34*100</f>
        <v>74.890000000000015</v>
      </c>
      <c r="D94" s="18">
        <f>E93</f>
        <v>2072.4059999999999</v>
      </c>
      <c r="E94" s="18">
        <f>D94*C94/100</f>
        <v>1552.0248534000002</v>
      </c>
    </row>
    <row r="95" spans="1:7" s="11" customFormat="1">
      <c r="A95" s="103" t="s">
        <v>274</v>
      </c>
      <c r="B95" s="273"/>
      <c r="C95" s="273"/>
      <c r="D95" s="274"/>
      <c r="E95" s="105">
        <f>E93+E94</f>
        <v>3624.4308534000002</v>
      </c>
      <c r="F95" s="44"/>
      <c r="G95" s="44"/>
    </row>
    <row r="96" spans="1:7" ht="13.5" thickBot="1">
      <c r="A96" s="16" t="s">
        <v>5</v>
      </c>
      <c r="B96" s="17" t="s">
        <v>6</v>
      </c>
      <c r="C96" s="86">
        <v>1</v>
      </c>
      <c r="D96" s="18">
        <f>E95</f>
        <v>3624.4308534000002</v>
      </c>
      <c r="E96" s="18">
        <f>C96*D96</f>
        <v>3624.4308534000002</v>
      </c>
    </row>
    <row r="97" spans="1:7" ht="13.5" thickBot="1">
      <c r="D97" s="124" t="s">
        <v>205</v>
      </c>
      <c r="E97" s="50">
        <f>$B$48</f>
        <v>0.66659999999999997</v>
      </c>
      <c r="F97" s="125">
        <f>E96*E97</f>
        <v>2416.0456068764402</v>
      </c>
    </row>
    <row r="98" spans="1:7" ht="11.25" customHeight="1"/>
    <row r="99" spans="1:7" ht="13.5" hidden="1" thickBot="1">
      <c r="A99" s="9" t="s">
        <v>103</v>
      </c>
    </row>
    <row r="100" spans="1:7" ht="13.5" hidden="1" thickBot="1">
      <c r="A100" s="60" t="s">
        <v>64</v>
      </c>
      <c r="B100" s="61" t="s">
        <v>65</v>
      </c>
      <c r="C100" s="61" t="s">
        <v>42</v>
      </c>
      <c r="D100" s="62" t="s">
        <v>254</v>
      </c>
      <c r="E100" s="62" t="s">
        <v>66</v>
      </c>
      <c r="F100" s="63" t="s">
        <v>67</v>
      </c>
    </row>
    <row r="101" spans="1:7" hidden="1">
      <c r="A101" s="13" t="s">
        <v>228</v>
      </c>
      <c r="B101" s="14" t="s">
        <v>8</v>
      </c>
      <c r="C101" s="14">
        <v>1</v>
      </c>
      <c r="D101" s="15">
        <f>D86</f>
        <v>1480.29</v>
      </c>
      <c r="E101" s="15">
        <f>C101*D101</f>
        <v>1480.29</v>
      </c>
    </row>
    <row r="102" spans="1:7" hidden="1">
      <c r="A102" s="13" t="s">
        <v>229</v>
      </c>
      <c r="B102" s="14" t="s">
        <v>8</v>
      </c>
      <c r="C102" s="14">
        <v>1</v>
      </c>
      <c r="D102" s="18">
        <f>D87</f>
        <v>998</v>
      </c>
      <c r="E102" s="18"/>
    </row>
    <row r="103" spans="1:7" hidden="1">
      <c r="A103" s="16" t="s">
        <v>7</v>
      </c>
      <c r="B103" s="17" t="s">
        <v>99</v>
      </c>
      <c r="C103" s="88"/>
      <c r="D103" s="16"/>
      <c r="E103" s="16"/>
    </row>
    <row r="104" spans="1:7" hidden="1">
      <c r="A104" s="16"/>
      <c r="B104" s="17" t="s">
        <v>104</v>
      </c>
      <c r="C104" s="18">
        <f>C103*8/7</f>
        <v>0</v>
      </c>
      <c r="D104" s="18">
        <f>D101/220*0.2</f>
        <v>1.3457181818181818</v>
      </c>
      <c r="E104" s="18">
        <f>C103*D104</f>
        <v>0</v>
      </c>
    </row>
    <row r="105" spans="1:7" hidden="1">
      <c r="A105" s="16" t="s">
        <v>36</v>
      </c>
      <c r="B105" s="17" t="s">
        <v>0</v>
      </c>
      <c r="C105" s="88"/>
      <c r="D105" s="18">
        <f>D101/220*2</f>
        <v>13.457181818181818</v>
      </c>
      <c r="E105" s="18">
        <f>C105*D105</f>
        <v>0</v>
      </c>
      <c r="G105" s="10" t="s">
        <v>270</v>
      </c>
    </row>
    <row r="106" spans="1:7" hidden="1">
      <c r="A106" s="16" t="s">
        <v>100</v>
      </c>
      <c r="B106" s="17" t="s">
        <v>99</v>
      </c>
      <c r="C106" s="88"/>
      <c r="D106" s="18"/>
      <c r="E106" s="18"/>
      <c r="G106" s="10" t="s">
        <v>271</v>
      </c>
    </row>
    <row r="107" spans="1:7" hidden="1">
      <c r="A107" s="16"/>
      <c r="B107" s="17" t="s">
        <v>104</v>
      </c>
      <c r="C107" s="18">
        <f>C106*8/7</f>
        <v>0</v>
      </c>
      <c r="D107" s="18">
        <f>D101/220*2*1.2</f>
        <v>16.148618181818179</v>
      </c>
      <c r="E107" s="18">
        <f>C107*D107</f>
        <v>0</v>
      </c>
      <c r="G107" s="10" t="s">
        <v>271</v>
      </c>
    </row>
    <row r="108" spans="1:7" hidden="1">
      <c r="A108" s="16" t="s">
        <v>37</v>
      </c>
      <c r="B108" s="17" t="s">
        <v>0</v>
      </c>
      <c r="C108" s="88"/>
      <c r="D108" s="18">
        <f>D101/220*1.5</f>
        <v>10.092886363636364</v>
      </c>
      <c r="E108" s="18">
        <f>C108*D108</f>
        <v>0</v>
      </c>
      <c r="G108" s="10" t="s">
        <v>272</v>
      </c>
    </row>
    <row r="109" spans="1:7" hidden="1">
      <c r="A109" s="16" t="s">
        <v>233</v>
      </c>
      <c r="B109" s="17" t="s">
        <v>99</v>
      </c>
      <c r="C109" s="88"/>
      <c r="D109" s="18"/>
      <c r="E109" s="18"/>
      <c r="G109" s="10" t="s">
        <v>273</v>
      </c>
    </row>
    <row r="110" spans="1:7" hidden="1">
      <c r="A110" s="16"/>
      <c r="B110" s="17" t="s">
        <v>104</v>
      </c>
      <c r="C110" s="18">
        <f>C109*8/7</f>
        <v>0</v>
      </c>
      <c r="D110" s="18">
        <f>D101/220*1.5*1.2</f>
        <v>12.111463636363636</v>
      </c>
      <c r="E110" s="18">
        <f>C110*D110</f>
        <v>0</v>
      </c>
      <c r="G110" s="10" t="s">
        <v>273</v>
      </c>
    </row>
    <row r="111" spans="1:7" ht="13.15" hidden="1" customHeight="1">
      <c r="A111" s="16" t="s">
        <v>235</v>
      </c>
      <c r="B111" s="17" t="s">
        <v>35</v>
      </c>
      <c r="D111" s="18">
        <f>63/302*(SUM(E105:E110))</f>
        <v>0</v>
      </c>
      <c r="E111" s="18">
        <f>D111</f>
        <v>0</v>
      </c>
      <c r="G111" s="10" t="s">
        <v>234</v>
      </c>
    </row>
    <row r="112" spans="1:7" hidden="1">
      <c r="A112" s="16" t="s">
        <v>230</v>
      </c>
      <c r="B112" s="17"/>
      <c r="C112" s="90"/>
      <c r="D112" s="18"/>
      <c r="E112" s="18"/>
    </row>
    <row r="113" spans="1:7" hidden="1">
      <c r="A113" s="16" t="s">
        <v>1</v>
      </c>
      <c r="B113" s="17" t="s">
        <v>2</v>
      </c>
      <c r="C113" s="83">
        <f>+C92</f>
        <v>40</v>
      </c>
      <c r="D113" s="83">
        <f>IF(C112=2,SUM(E101:E111),IF(C112=1,SUM(E101:E111)*D102/D101,0))</f>
        <v>0</v>
      </c>
      <c r="E113" s="18">
        <f>C113*D113/100</f>
        <v>0</v>
      </c>
    </row>
    <row r="114" spans="1:7" s="11" customFormat="1" hidden="1">
      <c r="A114" s="117" t="s">
        <v>3</v>
      </c>
      <c r="B114" s="118"/>
      <c r="C114" s="118"/>
      <c r="D114" s="119"/>
      <c r="E114" s="120">
        <f>SUM(E101:E113)</f>
        <v>1480.29</v>
      </c>
      <c r="F114" s="44"/>
      <c r="G114" s="44"/>
    </row>
    <row r="115" spans="1:7" hidden="1">
      <c r="A115" s="16" t="s">
        <v>4</v>
      </c>
      <c r="B115" s="17" t="s">
        <v>2</v>
      </c>
      <c r="C115" s="142">
        <f>'2.Encargos Sociais'!$C$34*100</f>
        <v>74.890000000000015</v>
      </c>
      <c r="D115" s="18">
        <f>E114</f>
        <v>1480.29</v>
      </c>
      <c r="E115" s="18">
        <f>D115*C115/100</f>
        <v>1108.5891810000003</v>
      </c>
    </row>
    <row r="116" spans="1:7" s="11" customFormat="1" hidden="1">
      <c r="A116" s="117" t="s">
        <v>274</v>
      </c>
      <c r="B116" s="118"/>
      <c r="C116" s="118"/>
      <c r="D116" s="119"/>
      <c r="E116" s="120">
        <f>E114+E115</f>
        <v>2588.8791810000002</v>
      </c>
      <c r="F116" s="44"/>
      <c r="G116" s="44"/>
    </row>
    <row r="117" spans="1:7" ht="13.5" hidden="1" thickBot="1">
      <c r="A117" s="16" t="s">
        <v>5</v>
      </c>
      <c r="B117" s="17" t="s">
        <v>6</v>
      </c>
      <c r="C117" s="86"/>
      <c r="D117" s="18">
        <f>E116</f>
        <v>2588.8791810000002</v>
      </c>
      <c r="E117" s="18">
        <f>C117*D117</f>
        <v>0</v>
      </c>
    </row>
    <row r="118" spans="1:7" ht="13.5" hidden="1" thickBot="1">
      <c r="D118" s="124" t="s">
        <v>205</v>
      </c>
      <c r="E118" s="50">
        <f>$B$48</f>
        <v>0.66659999999999997</v>
      </c>
      <c r="F118" s="125">
        <f>E117*E118</f>
        <v>0</v>
      </c>
    </row>
    <row r="119" spans="1:7" ht="11.25" hidden="1" customHeight="1">
      <c r="G119" s="9"/>
    </row>
    <row r="120" spans="1:7" ht="13.5" thickBot="1">
      <c r="A120" s="9" t="s">
        <v>105</v>
      </c>
      <c r="B120" s="93"/>
      <c r="D120" s="9"/>
      <c r="E120" s="9"/>
      <c r="G120" s="9"/>
    </row>
    <row r="121" spans="1:7" ht="13.5" thickBot="1">
      <c r="A121" s="60" t="s">
        <v>64</v>
      </c>
      <c r="B121" s="61" t="s">
        <v>65</v>
      </c>
      <c r="C121" s="61" t="s">
        <v>42</v>
      </c>
      <c r="D121" s="62" t="s">
        <v>254</v>
      </c>
      <c r="E121" s="62" t="s">
        <v>66</v>
      </c>
      <c r="F121" s="63" t="s">
        <v>67</v>
      </c>
      <c r="G121" s="9"/>
    </row>
    <row r="122" spans="1:7">
      <c r="A122" s="16" t="s">
        <v>91</v>
      </c>
      <c r="B122" s="17" t="s">
        <v>35</v>
      </c>
      <c r="C122" s="94">
        <v>1</v>
      </c>
      <c r="D122" s="92">
        <v>2.15</v>
      </c>
      <c r="E122" s="18"/>
      <c r="G122" s="9"/>
    </row>
    <row r="123" spans="1:7">
      <c r="A123" s="16" t="s">
        <v>92</v>
      </c>
      <c r="B123" s="17" t="s">
        <v>93</v>
      </c>
      <c r="C123" s="91">
        <v>16</v>
      </c>
      <c r="D123" s="18"/>
      <c r="E123" s="18"/>
      <c r="G123" s="9"/>
    </row>
    <row r="124" spans="1:7">
      <c r="A124" s="16" t="s">
        <v>75</v>
      </c>
      <c r="B124" s="17" t="s">
        <v>9</v>
      </c>
      <c r="C124" s="37">
        <f>$C$123*2*(C62+C81)</f>
        <v>64</v>
      </c>
      <c r="D124" s="15">
        <f>IFERROR((($C$123*2*$D$122)-(E54*0.06))/($C$123*2),"-")</f>
        <v>-0.24662499999999987</v>
      </c>
      <c r="E124" s="18">
        <f>IFERROR(C124*D124,"-")</f>
        <v>-15.783999999999992</v>
      </c>
      <c r="G124" s="9"/>
    </row>
    <row r="125" spans="1:7" ht="13.5" thickBot="1">
      <c r="A125" s="13" t="s">
        <v>46</v>
      </c>
      <c r="B125" s="14" t="s">
        <v>9</v>
      </c>
      <c r="C125" s="37">
        <f>$C$123*2*(C96+C117)</f>
        <v>32</v>
      </c>
      <c r="D125" s="15">
        <f>IFERROR((($C$123*2*$D$122)-(E86*0.06))/($C$123*2),"-")</f>
        <v>-0.62554374999999984</v>
      </c>
      <c r="E125" s="15">
        <f>IFERROR(C125*D125,"-")</f>
        <v>-20.017399999999995</v>
      </c>
      <c r="G125" s="9"/>
    </row>
    <row r="126" spans="1:7" ht="13.5" thickBot="1">
      <c r="F126" s="22">
        <f>SUM(E124:E125)</f>
        <v>-35.801399999999987</v>
      </c>
      <c r="G126" s="9"/>
    </row>
    <row r="127" spans="1:7" ht="11.25" customHeight="1">
      <c r="G127" s="9"/>
    </row>
    <row r="128" spans="1:7" ht="13.5" thickBot="1">
      <c r="A128" s="9" t="s">
        <v>128</v>
      </c>
      <c r="F128" s="23"/>
      <c r="G128" s="9"/>
    </row>
    <row r="129" spans="1:7" ht="13.5" thickBot="1">
      <c r="A129" s="60" t="s">
        <v>64</v>
      </c>
      <c r="B129" s="61" t="s">
        <v>65</v>
      </c>
      <c r="C129" s="61" t="s">
        <v>42</v>
      </c>
      <c r="D129" s="62" t="s">
        <v>254</v>
      </c>
      <c r="E129" s="62" t="s">
        <v>66</v>
      </c>
      <c r="F129" s="63" t="s">
        <v>67</v>
      </c>
      <c r="G129" s="9"/>
    </row>
    <row r="130" spans="1:7">
      <c r="A130" s="16" t="str">
        <f>+A124</f>
        <v>Coletor</v>
      </c>
      <c r="B130" s="17" t="s">
        <v>10</v>
      </c>
      <c r="C130" s="102">
        <f>C123*(E38+E39)</f>
        <v>32</v>
      </c>
      <c r="D130" s="95">
        <v>16.73</v>
      </c>
      <c r="E130" s="50">
        <f>C130*D130</f>
        <v>535.36</v>
      </c>
      <c r="F130" s="23"/>
      <c r="G130" s="9"/>
    </row>
    <row r="131" spans="1:7" ht="13.5" thickBot="1">
      <c r="A131" s="16" t="str">
        <f>+A125</f>
        <v>Motorista</v>
      </c>
      <c r="B131" s="17" t="s">
        <v>10</v>
      </c>
      <c r="C131" s="102">
        <f>C123*(E40+E41)</f>
        <v>16</v>
      </c>
      <c r="D131" s="95">
        <v>18.100000000000001</v>
      </c>
      <c r="E131" s="50">
        <f>C131*D131</f>
        <v>289.60000000000002</v>
      </c>
      <c r="F131" s="23"/>
      <c r="G131" s="9"/>
    </row>
    <row r="132" spans="1:7" ht="13.5" thickBot="1">
      <c r="F132" s="22">
        <f>SUM(E130:E131)</f>
        <v>824.96</v>
      </c>
      <c r="G132" s="9"/>
    </row>
    <row r="133" spans="1:7">
      <c r="G133" s="9"/>
    </row>
    <row r="134" spans="1:7" ht="13.5" thickBot="1">
      <c r="A134" s="9" t="s">
        <v>129</v>
      </c>
      <c r="F134" s="23"/>
      <c r="G134" s="9"/>
    </row>
    <row r="135" spans="1:7" ht="13.5" thickBot="1">
      <c r="A135" s="60" t="s">
        <v>64</v>
      </c>
      <c r="B135" s="61" t="s">
        <v>65</v>
      </c>
      <c r="C135" s="61" t="s">
        <v>42</v>
      </c>
      <c r="D135" s="62" t="s">
        <v>254</v>
      </c>
      <c r="E135" s="62" t="s">
        <v>66</v>
      </c>
      <c r="F135" s="63" t="s">
        <v>67</v>
      </c>
      <c r="G135" s="9"/>
    </row>
    <row r="136" spans="1:7">
      <c r="A136" s="16" t="str">
        <f>+A130</f>
        <v>Coletor</v>
      </c>
      <c r="B136" s="17" t="s">
        <v>10</v>
      </c>
      <c r="C136" s="102">
        <f>E38+E39</f>
        <v>2</v>
      </c>
      <c r="D136" s="95"/>
      <c r="E136" s="50">
        <f>C136*D136</f>
        <v>0</v>
      </c>
      <c r="F136" s="23"/>
      <c r="G136" s="9"/>
    </row>
    <row r="137" spans="1:7" ht="13.5" thickBot="1">
      <c r="A137" s="16" t="str">
        <f>+A131</f>
        <v>Motorista</v>
      </c>
      <c r="B137" s="17" t="s">
        <v>10</v>
      </c>
      <c r="C137" s="102">
        <f>E40+E41</f>
        <v>1</v>
      </c>
      <c r="D137" s="95"/>
      <c r="E137" s="50">
        <f>C137*D137</f>
        <v>0</v>
      </c>
      <c r="F137" s="23"/>
      <c r="G137" s="9"/>
    </row>
    <row r="138" spans="1:7" ht="13.5" thickBot="1">
      <c r="D138" s="124" t="s">
        <v>205</v>
      </c>
      <c r="E138" s="50">
        <f>$B$48</f>
        <v>0.66659999999999997</v>
      </c>
      <c r="F138" s="22">
        <f>SUM(E136:E137)*E138</f>
        <v>0</v>
      </c>
      <c r="G138" s="9"/>
    </row>
    <row r="139" spans="1:7" ht="13.5" thickBot="1">
      <c r="G139" s="9"/>
    </row>
    <row r="140" spans="1:7" ht="13.5" thickBot="1">
      <c r="A140" s="24" t="s">
        <v>94</v>
      </c>
      <c r="B140" s="25"/>
      <c r="C140" s="25"/>
      <c r="D140" s="26"/>
      <c r="E140" s="27"/>
      <c r="F140" s="22">
        <f>F138+F132+F126+F118+F97+F82+F63</f>
        <v>7377.6156866668398</v>
      </c>
      <c r="G140" s="9"/>
    </row>
    <row r="142" spans="1:7">
      <c r="A142" s="11" t="s">
        <v>47</v>
      </c>
      <c r="G142" s="9"/>
    </row>
    <row r="143" spans="1:7" ht="11.25" customHeight="1">
      <c r="G143" s="9"/>
    </row>
    <row r="144" spans="1:7" ht="13.9" customHeight="1">
      <c r="A144" s="9" t="s">
        <v>207</v>
      </c>
      <c r="G144" s="9"/>
    </row>
    <row r="145" spans="1:7" ht="11.25" customHeight="1" thickBot="1">
      <c r="G145" s="9"/>
    </row>
    <row r="146" spans="1:7" ht="27.75" customHeight="1" thickBot="1">
      <c r="A146" s="60" t="s">
        <v>64</v>
      </c>
      <c r="B146" s="61" t="s">
        <v>65</v>
      </c>
      <c r="C146" s="275" t="s">
        <v>276</v>
      </c>
      <c r="D146" s="62" t="s">
        <v>254</v>
      </c>
      <c r="E146" s="62" t="s">
        <v>66</v>
      </c>
      <c r="F146" s="63" t="s">
        <v>67</v>
      </c>
      <c r="G146" s="9"/>
    </row>
    <row r="147" spans="1:7">
      <c r="A147" s="13" t="s">
        <v>68</v>
      </c>
      <c r="B147" s="14" t="s">
        <v>10</v>
      </c>
      <c r="C147" s="101">
        <v>12</v>
      </c>
      <c r="D147" s="87">
        <v>142</v>
      </c>
      <c r="E147" s="15">
        <f>IFERROR(D147/C147,0)</f>
        <v>11.833333333333334</v>
      </c>
      <c r="G147" s="9"/>
    </row>
    <row r="148" spans="1:7" ht="13.15" customHeight="1">
      <c r="A148" s="16" t="s">
        <v>30</v>
      </c>
      <c r="B148" s="17" t="s">
        <v>10</v>
      </c>
      <c r="C148" s="101">
        <v>12</v>
      </c>
      <c r="D148" s="87">
        <v>38</v>
      </c>
      <c r="E148" s="15">
        <f t="shared" ref="E148:E156" si="1">IFERROR(D148/C148,0)</f>
        <v>3.1666666666666665</v>
      </c>
      <c r="G148" s="9"/>
    </row>
    <row r="149" spans="1:7">
      <c r="A149" s="16" t="s">
        <v>31</v>
      </c>
      <c r="B149" s="17" t="s">
        <v>10</v>
      </c>
      <c r="C149" s="101">
        <v>6</v>
      </c>
      <c r="D149" s="87">
        <v>28</v>
      </c>
      <c r="E149" s="15">
        <f t="shared" si="1"/>
        <v>4.666666666666667</v>
      </c>
      <c r="G149" s="9"/>
    </row>
    <row r="150" spans="1:7" ht="13.15" customHeight="1">
      <c r="A150" s="16" t="s">
        <v>32</v>
      </c>
      <c r="B150" s="17" t="s">
        <v>10</v>
      </c>
      <c r="C150" s="101">
        <v>12</v>
      </c>
      <c r="D150" s="87">
        <v>15</v>
      </c>
      <c r="E150" s="15">
        <f t="shared" si="1"/>
        <v>1.25</v>
      </c>
      <c r="G150" s="9"/>
    </row>
    <row r="151" spans="1:7" ht="13.9" customHeight="1">
      <c r="A151" s="16" t="s">
        <v>70</v>
      </c>
      <c r="B151" s="17" t="s">
        <v>50</v>
      </c>
      <c r="C151" s="101">
        <v>12</v>
      </c>
      <c r="D151" s="87">
        <v>75</v>
      </c>
      <c r="E151" s="15">
        <f t="shared" si="1"/>
        <v>6.25</v>
      </c>
      <c r="G151" s="9"/>
    </row>
    <row r="152" spans="1:7" ht="13.15" customHeight="1">
      <c r="A152" s="16" t="s">
        <v>95</v>
      </c>
      <c r="B152" s="17" t="s">
        <v>50</v>
      </c>
      <c r="C152" s="101">
        <v>6</v>
      </c>
      <c r="D152" s="87">
        <v>12</v>
      </c>
      <c r="E152" s="15">
        <f t="shared" si="1"/>
        <v>2</v>
      </c>
    </row>
    <row r="153" spans="1:7">
      <c r="A153" s="16" t="s">
        <v>69</v>
      </c>
      <c r="B153" s="17" t="s">
        <v>10</v>
      </c>
      <c r="C153" s="101">
        <v>12</v>
      </c>
      <c r="D153" s="87">
        <v>22</v>
      </c>
      <c r="E153" s="15">
        <f t="shared" si="1"/>
        <v>1.8333333333333333</v>
      </c>
    </row>
    <row r="154" spans="1:7" s="1" customFormat="1">
      <c r="A154" s="2" t="s">
        <v>11</v>
      </c>
      <c r="B154" s="3" t="s">
        <v>10</v>
      </c>
      <c r="C154" s="101">
        <v>12</v>
      </c>
      <c r="D154" s="87">
        <v>28</v>
      </c>
      <c r="E154" s="15">
        <f t="shared" si="1"/>
        <v>2.3333333333333335</v>
      </c>
      <c r="F154" s="38"/>
      <c r="G154" s="38"/>
    </row>
    <row r="155" spans="1:7">
      <c r="A155" s="16" t="s">
        <v>33</v>
      </c>
      <c r="B155" s="17" t="s">
        <v>50</v>
      </c>
      <c r="C155" s="101">
        <v>1</v>
      </c>
      <c r="D155" s="87">
        <v>10.5</v>
      </c>
      <c r="E155" s="15">
        <f t="shared" si="1"/>
        <v>10.5</v>
      </c>
    </row>
    <row r="156" spans="1:7" ht="13.15" customHeight="1">
      <c r="A156" s="16" t="s">
        <v>63</v>
      </c>
      <c r="B156" s="17" t="s">
        <v>51</v>
      </c>
      <c r="C156" s="101">
        <v>1</v>
      </c>
      <c r="D156" s="87">
        <v>15</v>
      </c>
      <c r="E156" s="15">
        <f t="shared" si="1"/>
        <v>15</v>
      </c>
    </row>
    <row r="157" spans="1:7">
      <c r="A157" s="16" t="s">
        <v>208</v>
      </c>
      <c r="B157" s="17" t="s">
        <v>130</v>
      </c>
      <c r="C157" s="122">
        <v>1</v>
      </c>
      <c r="D157" s="87">
        <v>65</v>
      </c>
      <c r="E157" s="18">
        <f t="shared" ref="E157" si="2">C157*D157</f>
        <v>65</v>
      </c>
    </row>
    <row r="158" spans="1:7" ht="13.5" thickBot="1">
      <c r="A158" s="16" t="s">
        <v>5</v>
      </c>
      <c r="B158" s="17" t="s">
        <v>6</v>
      </c>
      <c r="C158" s="69">
        <f>E38+E39</f>
        <v>2</v>
      </c>
      <c r="D158" s="18">
        <f>+SUM(E147:E157)</f>
        <v>123.83333333333334</v>
      </c>
      <c r="E158" s="18">
        <f>C158*D158</f>
        <v>247.66666666666669</v>
      </c>
    </row>
    <row r="159" spans="1:7" ht="13.5" thickBot="1">
      <c r="D159" s="124" t="s">
        <v>205</v>
      </c>
      <c r="E159" s="50">
        <f>$B$48</f>
        <v>0.66659999999999997</v>
      </c>
      <c r="F159" s="125">
        <f>E158*E159</f>
        <v>165.09460000000001</v>
      </c>
    </row>
    <row r="160" spans="1:7" ht="11.25" customHeight="1"/>
    <row r="161" spans="1:7" ht="13.9" customHeight="1">
      <c r="A161" s="9" t="s">
        <v>209</v>
      </c>
    </row>
    <row r="162" spans="1:7" ht="11.25" customHeight="1" thickBot="1"/>
    <row r="163" spans="1:7" ht="24.75" thickBot="1">
      <c r="A163" s="60" t="s">
        <v>64</v>
      </c>
      <c r="B163" s="61" t="s">
        <v>65</v>
      </c>
      <c r="C163" s="275" t="s">
        <v>276</v>
      </c>
      <c r="D163" s="62" t="s">
        <v>254</v>
      </c>
      <c r="E163" s="62" t="s">
        <v>66</v>
      </c>
      <c r="F163" s="63" t="s">
        <v>67</v>
      </c>
    </row>
    <row r="164" spans="1:7">
      <c r="A164" s="13" t="s">
        <v>68</v>
      </c>
      <c r="B164" s="14" t="s">
        <v>10</v>
      </c>
      <c r="C164" s="101">
        <v>24</v>
      </c>
      <c r="D164" s="15">
        <f>+D147</f>
        <v>142</v>
      </c>
      <c r="E164" s="15">
        <f>IFERROR(D164/C164,0)</f>
        <v>5.916666666666667</v>
      </c>
    </row>
    <row r="165" spans="1:7">
      <c r="A165" s="16" t="s">
        <v>30</v>
      </c>
      <c r="B165" s="17" t="s">
        <v>10</v>
      </c>
      <c r="C165" s="101">
        <v>12</v>
      </c>
      <c r="D165" s="18">
        <f>+D148</f>
        <v>38</v>
      </c>
      <c r="E165" s="15">
        <f t="shared" ref="E165:E169" si="3">IFERROR(D165/C165,0)</f>
        <v>3.1666666666666665</v>
      </c>
    </row>
    <row r="166" spans="1:7">
      <c r="A166" s="16" t="s">
        <v>31</v>
      </c>
      <c r="B166" s="17" t="s">
        <v>10</v>
      </c>
      <c r="C166" s="101">
        <v>12</v>
      </c>
      <c r="D166" s="18">
        <f>+D149</f>
        <v>28</v>
      </c>
      <c r="E166" s="15">
        <f t="shared" si="3"/>
        <v>2.3333333333333335</v>
      </c>
    </row>
    <row r="167" spans="1:7">
      <c r="A167" s="16" t="s">
        <v>70</v>
      </c>
      <c r="B167" s="17" t="s">
        <v>50</v>
      </c>
      <c r="C167" s="101">
        <v>12</v>
      </c>
      <c r="D167" s="18">
        <f>+D151</f>
        <v>75</v>
      </c>
      <c r="E167" s="15">
        <f t="shared" si="3"/>
        <v>6.25</v>
      </c>
    </row>
    <row r="168" spans="1:7">
      <c r="A168" s="16" t="s">
        <v>69</v>
      </c>
      <c r="B168" s="17" t="s">
        <v>10</v>
      </c>
      <c r="C168" s="101">
        <v>24</v>
      </c>
      <c r="D168" s="18">
        <f>+D153</f>
        <v>22</v>
      </c>
      <c r="E168" s="15">
        <f t="shared" si="3"/>
        <v>0.91666666666666663</v>
      </c>
      <c r="G168" s="9"/>
    </row>
    <row r="169" spans="1:7">
      <c r="A169" s="16" t="s">
        <v>63</v>
      </c>
      <c r="B169" s="17" t="s">
        <v>51</v>
      </c>
      <c r="C169" s="101">
        <v>2</v>
      </c>
      <c r="D169" s="18">
        <f>+D156</f>
        <v>15</v>
      </c>
      <c r="E169" s="15">
        <f t="shared" si="3"/>
        <v>7.5</v>
      </c>
      <c r="G169" s="9"/>
    </row>
    <row r="170" spans="1:7">
      <c r="A170" s="16" t="s">
        <v>208</v>
      </c>
      <c r="B170" s="17" t="s">
        <v>130</v>
      </c>
      <c r="C170" s="122">
        <v>1</v>
      </c>
      <c r="D170" s="87">
        <v>50</v>
      </c>
      <c r="E170" s="18">
        <f t="shared" ref="E170:E171" si="4">C170*D170</f>
        <v>50</v>
      </c>
      <c r="G170" s="9"/>
    </row>
    <row r="171" spans="1:7" ht="13.5" thickBot="1">
      <c r="A171" s="16" t="s">
        <v>5</v>
      </c>
      <c r="B171" s="17" t="s">
        <v>6</v>
      </c>
      <c r="C171" s="69">
        <f>E40+E41</f>
        <v>1</v>
      </c>
      <c r="D171" s="18">
        <f>+SUM(E164:E170)</f>
        <v>76.083333333333343</v>
      </c>
      <c r="E171" s="18">
        <f t="shared" si="4"/>
        <v>76.083333333333343</v>
      </c>
      <c r="G171" s="9"/>
    </row>
    <row r="172" spans="1:7" ht="13.5" thickBot="1">
      <c r="D172" s="124" t="s">
        <v>205</v>
      </c>
      <c r="E172" s="50">
        <f>$B$48</f>
        <v>0.66659999999999997</v>
      </c>
      <c r="F172" s="125">
        <f>E171*E172</f>
        <v>50.717150000000004</v>
      </c>
      <c r="G172" s="9"/>
    </row>
    <row r="173" spans="1:7" ht="11.25" customHeight="1" thickBot="1">
      <c r="G173" s="9"/>
    </row>
    <row r="174" spans="1:7" ht="13.5" thickBot="1">
      <c r="A174" s="24" t="s">
        <v>210</v>
      </c>
      <c r="B174" s="28"/>
      <c r="C174" s="28"/>
      <c r="D174" s="29"/>
      <c r="E174" s="30"/>
      <c r="F174" s="21">
        <f>+F159+F172</f>
        <v>215.81175000000002</v>
      </c>
      <c r="G174" s="9"/>
    </row>
    <row r="175" spans="1:7" ht="11.25" customHeight="1">
      <c r="G175" s="9"/>
    </row>
    <row r="176" spans="1:7">
      <c r="A176" s="11" t="s">
        <v>55</v>
      </c>
      <c r="G176" s="9"/>
    </row>
    <row r="177" spans="1:10" ht="11.25" customHeight="1">
      <c r="B177" s="107"/>
      <c r="G177" s="9"/>
    </row>
    <row r="178" spans="1:10">
      <c r="A178" s="7" t="s">
        <v>314</v>
      </c>
      <c r="G178" s="9"/>
    </row>
    <row r="179" spans="1:10" ht="11.25" customHeight="1">
      <c r="G179" s="9"/>
    </row>
    <row r="180" spans="1:10" ht="13.5" thickBot="1">
      <c r="A180" s="107" t="s">
        <v>48</v>
      </c>
      <c r="G180" s="9"/>
    </row>
    <row r="181" spans="1:10" ht="13.5" thickBot="1">
      <c r="A181" s="60" t="s">
        <v>64</v>
      </c>
      <c r="B181" s="61" t="s">
        <v>65</v>
      </c>
      <c r="C181" s="61" t="s">
        <v>42</v>
      </c>
      <c r="D181" s="62" t="s">
        <v>254</v>
      </c>
      <c r="E181" s="62" t="s">
        <v>66</v>
      </c>
      <c r="F181" s="63" t="s">
        <v>67</v>
      </c>
      <c r="G181" s="9"/>
    </row>
    <row r="182" spans="1:10">
      <c r="A182" s="13" t="s">
        <v>112</v>
      </c>
      <c r="B182" s="14" t="s">
        <v>10</v>
      </c>
      <c r="C182" s="281">
        <v>1</v>
      </c>
      <c r="D182" s="87">
        <v>212142</v>
      </c>
      <c r="E182" s="15">
        <f>C182*D182</f>
        <v>212142</v>
      </c>
      <c r="G182" s="9"/>
    </row>
    <row r="183" spans="1:10">
      <c r="A183" s="16" t="s">
        <v>106</v>
      </c>
      <c r="B183" s="17" t="s">
        <v>107</v>
      </c>
      <c r="C183" s="86">
        <v>5</v>
      </c>
      <c r="D183" s="83"/>
      <c r="E183" s="18"/>
      <c r="G183" s="9"/>
    </row>
    <row r="184" spans="1:10">
      <c r="A184" s="16" t="s">
        <v>223</v>
      </c>
      <c r="B184" s="17" t="s">
        <v>107</v>
      </c>
      <c r="C184" s="86">
        <v>0</v>
      </c>
      <c r="D184" s="18"/>
      <c r="E184" s="18"/>
      <c r="F184" s="20"/>
      <c r="I184" s="85"/>
      <c r="J184" s="85"/>
    </row>
    <row r="185" spans="1:10">
      <c r="A185" s="16" t="s">
        <v>110</v>
      </c>
      <c r="B185" s="17" t="s">
        <v>2</v>
      </c>
      <c r="C185" s="142">
        <f>IFERROR(VLOOKUP(C183,'5. Depreciação'!A3:B17,2,FALSE),0)</f>
        <v>55.679999999999993</v>
      </c>
      <c r="D185" s="18">
        <f>E182</f>
        <v>212142</v>
      </c>
      <c r="E185" s="18">
        <f>C185*D185/100</f>
        <v>118120.66559999999</v>
      </c>
    </row>
    <row r="186" spans="1:10" ht="13.5" thickBot="1">
      <c r="A186" s="287" t="s">
        <v>52</v>
      </c>
      <c r="B186" s="288" t="s">
        <v>8</v>
      </c>
      <c r="C186" s="288">
        <f>C183*12</f>
        <v>60</v>
      </c>
      <c r="D186" s="289">
        <f>IF(C184&lt;=C183,E185,0)</f>
        <v>118120.66559999999</v>
      </c>
      <c r="E186" s="289">
        <f>IFERROR(D186/C186,0)</f>
        <v>1968.6777599999998</v>
      </c>
    </row>
    <row r="187" spans="1:10" ht="13.5" thickTop="1">
      <c r="A187" s="13" t="s">
        <v>111</v>
      </c>
      <c r="B187" s="14" t="s">
        <v>10</v>
      </c>
      <c r="C187" s="14">
        <f>C182</f>
        <v>1</v>
      </c>
      <c r="D187" s="87">
        <v>545200</v>
      </c>
      <c r="E187" s="15">
        <f>C187*D187</f>
        <v>545200</v>
      </c>
      <c r="G187" s="9"/>
    </row>
    <row r="188" spans="1:10">
      <c r="A188" s="16" t="s">
        <v>108</v>
      </c>
      <c r="B188" s="17" t="s">
        <v>107</v>
      </c>
      <c r="C188" s="86">
        <v>5</v>
      </c>
      <c r="D188" s="18"/>
      <c r="E188" s="18"/>
    </row>
    <row r="189" spans="1:10">
      <c r="A189" s="16" t="s">
        <v>224</v>
      </c>
      <c r="B189" s="17" t="s">
        <v>107</v>
      </c>
      <c r="C189" s="86">
        <v>0</v>
      </c>
      <c r="D189" s="18"/>
      <c r="E189" s="18"/>
      <c r="F189" s="20"/>
      <c r="I189" s="85"/>
      <c r="J189" s="85"/>
    </row>
    <row r="190" spans="1:10">
      <c r="A190" s="16" t="s">
        <v>109</v>
      </c>
      <c r="B190" s="17" t="s">
        <v>2</v>
      </c>
      <c r="C190" s="143">
        <f>IFERROR(VLOOKUP(C188,'5. Depreciação'!A3:B17,2,FALSE),0)</f>
        <v>55.679999999999993</v>
      </c>
      <c r="D190" s="18">
        <f>E187</f>
        <v>545200</v>
      </c>
      <c r="E190" s="18">
        <f>C190*D190/100</f>
        <v>303567.35999999999</v>
      </c>
    </row>
    <row r="191" spans="1:10">
      <c r="A191" s="103" t="s">
        <v>113</v>
      </c>
      <c r="B191" s="104" t="s">
        <v>8</v>
      </c>
      <c r="C191" s="104">
        <f>C188*12</f>
        <v>60</v>
      </c>
      <c r="D191" s="105">
        <f>IF(C189&lt;=C188,E190,0)</f>
        <v>303567.35999999999</v>
      </c>
      <c r="E191" s="105">
        <f>IFERROR(D191/C191,0)</f>
        <v>5059.4560000000001</v>
      </c>
    </row>
    <row r="192" spans="1:10">
      <c r="A192" s="117" t="s">
        <v>279</v>
      </c>
      <c r="B192" s="118"/>
      <c r="C192" s="118"/>
      <c r="D192" s="119"/>
      <c r="E192" s="120">
        <f>E186+E191</f>
        <v>7028.1337599999997</v>
      </c>
    </row>
    <row r="193" spans="1:10" ht="13.5" thickBot="1">
      <c r="A193" s="103" t="s">
        <v>280</v>
      </c>
      <c r="B193" s="104" t="s">
        <v>10</v>
      </c>
      <c r="C193" s="86">
        <v>1</v>
      </c>
      <c r="D193" s="105">
        <f>E192</f>
        <v>7028.1337599999997</v>
      </c>
      <c r="E193" s="120">
        <f>C193*D193</f>
        <v>7028.1337599999997</v>
      </c>
    </row>
    <row r="194" spans="1:10" ht="13.5" thickBot="1">
      <c r="A194" s="280"/>
      <c r="B194" s="280"/>
      <c r="C194" s="280"/>
      <c r="D194" s="124" t="s">
        <v>205</v>
      </c>
      <c r="E194" s="50">
        <f>$B$48</f>
        <v>0.66659999999999997</v>
      </c>
      <c r="F194" s="21">
        <f>E193*E194</f>
        <v>4684.9539644159995</v>
      </c>
    </row>
    <row r="195" spans="1:10" ht="11.25" customHeight="1"/>
    <row r="196" spans="1:10" ht="13.5" thickBot="1">
      <c r="A196" s="107" t="s">
        <v>118</v>
      </c>
    </row>
    <row r="197" spans="1:10" ht="13.5" thickBot="1">
      <c r="A197" s="109" t="s">
        <v>64</v>
      </c>
      <c r="B197" s="110" t="s">
        <v>65</v>
      </c>
      <c r="C197" s="110" t="s">
        <v>42</v>
      </c>
      <c r="D197" s="62" t="s">
        <v>254</v>
      </c>
      <c r="E197" s="111" t="s">
        <v>66</v>
      </c>
      <c r="F197" s="63" t="s">
        <v>67</v>
      </c>
      <c r="I197" s="85"/>
      <c r="J197" s="85"/>
    </row>
    <row r="198" spans="1:10">
      <c r="A198" s="16" t="s">
        <v>116</v>
      </c>
      <c r="B198" s="17" t="s">
        <v>10</v>
      </c>
      <c r="C198" s="281">
        <v>1</v>
      </c>
      <c r="D198" s="18">
        <f>D182</f>
        <v>212142</v>
      </c>
      <c r="E198" s="18">
        <f>C198*D198</f>
        <v>212142</v>
      </c>
      <c r="F198" s="20"/>
      <c r="I198" s="85"/>
      <c r="J198" s="85"/>
    </row>
    <row r="199" spans="1:10">
      <c r="A199" s="16" t="s">
        <v>227</v>
      </c>
      <c r="B199" s="17" t="s">
        <v>2</v>
      </c>
      <c r="C199" s="86">
        <v>6.43</v>
      </c>
      <c r="D199" s="18"/>
      <c r="E199" s="18"/>
      <c r="F199" s="20"/>
      <c r="G199" s="311" t="s">
        <v>309</v>
      </c>
      <c r="I199" s="85"/>
      <c r="J199" s="85"/>
    </row>
    <row r="200" spans="1:10">
      <c r="A200" s="16" t="s">
        <v>225</v>
      </c>
      <c r="B200" s="17" t="s">
        <v>35</v>
      </c>
      <c r="C200" s="150">
        <f>IFERROR(IF(C184&lt;=C183,E182-(C185/(100*C183)*C184)*E182,E182-E185),0)</f>
        <v>212142</v>
      </c>
      <c r="D200" s="18"/>
      <c r="E200" s="18"/>
      <c r="F200" s="20"/>
      <c r="I200" s="85"/>
      <c r="J200" s="85"/>
    </row>
    <row r="201" spans="1:10">
      <c r="A201" s="16" t="s">
        <v>121</v>
      </c>
      <c r="B201" s="17" t="s">
        <v>35</v>
      </c>
      <c r="C201" s="83">
        <f>IFERROR(IF(C184&gt;=C183,C200,((((C200)-(E182-E185))*(((C183-C184)+1)/(2*(C183-C184))))+(E182-E185))),0)</f>
        <v>164893.73376</v>
      </c>
      <c r="D201" s="18"/>
      <c r="E201" s="18"/>
      <c r="F201" s="20"/>
      <c r="I201" s="85"/>
      <c r="J201" s="85"/>
    </row>
    <row r="202" spans="1:10" ht="13.5" thickBot="1">
      <c r="A202" s="287" t="s">
        <v>122</v>
      </c>
      <c r="B202" s="288" t="s">
        <v>35</v>
      </c>
      <c r="C202" s="288"/>
      <c r="D202" s="290">
        <f>C199*C201/12/100</f>
        <v>883.55559006399994</v>
      </c>
      <c r="E202" s="289">
        <f>D202</f>
        <v>883.55559006399994</v>
      </c>
      <c r="F202" s="20"/>
      <c r="I202" s="85"/>
      <c r="J202" s="85"/>
    </row>
    <row r="203" spans="1:10" ht="13.5" thickTop="1">
      <c r="A203" s="13" t="s">
        <v>117</v>
      </c>
      <c r="B203" s="14" t="s">
        <v>10</v>
      </c>
      <c r="C203" s="14">
        <f>C187</f>
        <v>1</v>
      </c>
      <c r="D203" s="15">
        <f>D187</f>
        <v>545200</v>
      </c>
      <c r="E203" s="15">
        <f>C203*D203</f>
        <v>545200</v>
      </c>
      <c r="F203" s="20"/>
      <c r="I203" s="85"/>
      <c r="J203" s="85"/>
    </row>
    <row r="204" spans="1:10">
      <c r="A204" s="16" t="s">
        <v>227</v>
      </c>
      <c r="B204" s="17" t="s">
        <v>2</v>
      </c>
      <c r="C204" s="282">
        <f>C199</f>
        <v>6.43</v>
      </c>
      <c r="D204" s="18"/>
      <c r="E204" s="18"/>
      <c r="F204" s="20"/>
      <c r="I204" s="85"/>
      <c r="J204" s="85"/>
    </row>
    <row r="205" spans="1:10">
      <c r="A205" s="16" t="s">
        <v>226</v>
      </c>
      <c r="B205" s="17" t="s">
        <v>35</v>
      </c>
      <c r="C205" s="150">
        <f>IFERROR(IF(C189&lt;=C188,E187-(C190/(100*C188)*C189)*E187,E187-E190),0)</f>
        <v>545200</v>
      </c>
      <c r="D205" s="18"/>
      <c r="E205" s="18"/>
      <c r="F205" s="20"/>
      <c r="I205" s="85"/>
      <c r="J205" s="85"/>
    </row>
    <row r="206" spans="1:10">
      <c r="A206" s="16" t="s">
        <v>123</v>
      </c>
      <c r="B206" s="17" t="s">
        <v>35</v>
      </c>
      <c r="C206" s="83">
        <f>IFERROR(IF(C189&gt;=C188,C205,((((C205)-(E187-E190))*(((C188-C189)+1)/(2*(C188-C189))))+(E187-E190))),0)</f>
        <v>423773.05599999998</v>
      </c>
      <c r="D206" s="18"/>
      <c r="E206" s="18"/>
      <c r="F206" s="20"/>
      <c r="I206" s="85"/>
      <c r="J206" s="85"/>
    </row>
    <row r="207" spans="1:10">
      <c r="A207" s="103" t="s">
        <v>120</v>
      </c>
      <c r="B207" s="104" t="s">
        <v>35</v>
      </c>
      <c r="C207" s="104"/>
      <c r="D207" s="113">
        <f>C204*C206/12/100</f>
        <v>2270.7172917333328</v>
      </c>
      <c r="E207" s="105">
        <f>D207</f>
        <v>2270.7172917333328</v>
      </c>
      <c r="F207" s="20"/>
      <c r="I207" s="85"/>
      <c r="J207" s="85"/>
    </row>
    <row r="208" spans="1:10">
      <c r="A208" s="117" t="s">
        <v>279</v>
      </c>
      <c r="B208" s="118"/>
      <c r="C208" s="118"/>
      <c r="D208" s="119"/>
      <c r="E208" s="120">
        <f>E202+E207</f>
        <v>3154.272881797333</v>
      </c>
      <c r="F208" s="20"/>
      <c r="I208" s="85"/>
      <c r="J208" s="85"/>
    </row>
    <row r="209" spans="1:10" ht="13.5" thickBot="1">
      <c r="A209" s="103" t="s">
        <v>280</v>
      </c>
      <c r="B209" s="104" t="s">
        <v>10</v>
      </c>
      <c r="C209" s="282">
        <f>C193</f>
        <v>1</v>
      </c>
      <c r="D209" s="105">
        <f>E208</f>
        <v>3154.272881797333</v>
      </c>
      <c r="E209" s="120">
        <f>C209*D209</f>
        <v>3154.272881797333</v>
      </c>
      <c r="F209" s="20"/>
      <c r="I209" s="85"/>
      <c r="J209" s="85"/>
    </row>
    <row r="210" spans="1:10" ht="13.5" thickBot="1">
      <c r="C210" s="19"/>
      <c r="D210" s="124" t="s">
        <v>205</v>
      </c>
      <c r="E210" s="50">
        <f>$B$48</f>
        <v>0.66659999999999997</v>
      </c>
      <c r="F210" s="21">
        <f>E209*E210</f>
        <v>2102.638303006102</v>
      </c>
      <c r="I210" s="85"/>
      <c r="J210" s="85"/>
    </row>
    <row r="211" spans="1:10" ht="11.25" customHeight="1">
      <c r="I211" s="85"/>
      <c r="J211" s="85"/>
    </row>
    <row r="212" spans="1:10" ht="13.5" thickBot="1">
      <c r="A212" s="9" t="s">
        <v>53</v>
      </c>
      <c r="I212" s="85"/>
      <c r="J212" s="85"/>
    </row>
    <row r="213" spans="1:10" ht="13.5" thickBot="1">
      <c r="A213" s="60" t="s">
        <v>64</v>
      </c>
      <c r="B213" s="61" t="s">
        <v>65</v>
      </c>
      <c r="C213" s="61" t="s">
        <v>42</v>
      </c>
      <c r="D213" s="62" t="s">
        <v>254</v>
      </c>
      <c r="E213" s="62" t="s">
        <v>66</v>
      </c>
      <c r="F213" s="63" t="s">
        <v>67</v>
      </c>
      <c r="I213" s="85"/>
      <c r="J213" s="85"/>
    </row>
    <row r="214" spans="1:10">
      <c r="A214" s="13" t="s">
        <v>12</v>
      </c>
      <c r="B214" s="14" t="s">
        <v>10</v>
      </c>
      <c r="C214" s="15">
        <f>C182</f>
        <v>1</v>
      </c>
      <c r="D214" s="15">
        <f>0.01*D182</f>
        <v>2121.42</v>
      </c>
      <c r="E214" s="15">
        <f>C214*D214</f>
        <v>2121.42</v>
      </c>
      <c r="I214" s="85"/>
      <c r="J214" s="85"/>
    </row>
    <row r="215" spans="1:10">
      <c r="A215" s="16" t="s">
        <v>204</v>
      </c>
      <c r="B215" s="17" t="s">
        <v>10</v>
      </c>
      <c r="C215" s="15">
        <f>C182</f>
        <v>1</v>
      </c>
      <c r="D215" s="89">
        <v>16.760000000000002</v>
      </c>
      <c r="E215" s="18">
        <f>C215*D215</f>
        <v>16.760000000000002</v>
      </c>
      <c r="I215" s="85"/>
      <c r="J215" s="85"/>
    </row>
    <row r="216" spans="1:10">
      <c r="A216" s="16" t="s">
        <v>13</v>
      </c>
      <c r="B216" s="17" t="s">
        <v>10</v>
      </c>
      <c r="C216" s="15">
        <f>C182</f>
        <v>1</v>
      </c>
      <c r="D216" s="89">
        <v>1450</v>
      </c>
      <c r="E216" s="18">
        <f>C216*D216</f>
        <v>1450</v>
      </c>
      <c r="F216" s="31"/>
      <c r="I216" s="85"/>
      <c r="J216" s="85"/>
    </row>
    <row r="217" spans="1:10" ht="13.5" thickBot="1">
      <c r="A217" s="103" t="s">
        <v>14</v>
      </c>
      <c r="B217" s="104" t="s">
        <v>8</v>
      </c>
      <c r="C217" s="104">
        <v>12</v>
      </c>
      <c r="D217" s="105">
        <f>SUM(E214:E216)</f>
        <v>3588.1800000000003</v>
      </c>
      <c r="E217" s="105">
        <f>D217/C217</f>
        <v>299.01500000000004</v>
      </c>
      <c r="I217" s="85"/>
      <c r="J217" s="85"/>
    </row>
    <row r="218" spans="1:10" ht="13.5" thickBot="1">
      <c r="D218" s="124" t="s">
        <v>205</v>
      </c>
      <c r="E218" s="50">
        <f>$B$48</f>
        <v>0.66659999999999997</v>
      </c>
      <c r="F218" s="125">
        <f>E217*E218</f>
        <v>199.32339900000002</v>
      </c>
      <c r="I218" s="85"/>
      <c r="J218" s="85"/>
    </row>
    <row r="219" spans="1:10" ht="11.25" customHeight="1">
      <c r="I219" s="85"/>
      <c r="J219" s="85"/>
    </row>
    <row r="220" spans="1:10">
      <c r="A220" s="9" t="s">
        <v>54</v>
      </c>
      <c r="B220" s="32"/>
      <c r="I220" s="85"/>
      <c r="J220" s="85"/>
    </row>
    <row r="221" spans="1:10">
      <c r="B221" s="32"/>
      <c r="I221" s="85"/>
      <c r="J221" s="85"/>
    </row>
    <row r="222" spans="1:10">
      <c r="A222" s="103" t="s">
        <v>125</v>
      </c>
      <c r="B222" s="114">
        <v>2549.6</v>
      </c>
      <c r="I222" s="85"/>
      <c r="J222" s="85"/>
    </row>
    <row r="223" spans="1:10" ht="13.5" thickBot="1">
      <c r="B223" s="32"/>
      <c r="I223" s="85"/>
      <c r="J223" s="85"/>
    </row>
    <row r="224" spans="1:10" ht="13.5" thickBot="1">
      <c r="A224" s="60" t="s">
        <v>64</v>
      </c>
      <c r="B224" s="61" t="s">
        <v>65</v>
      </c>
      <c r="C224" s="61" t="s">
        <v>278</v>
      </c>
      <c r="D224" s="62" t="s">
        <v>254</v>
      </c>
      <c r="E224" s="62" t="s">
        <v>66</v>
      </c>
      <c r="F224" s="63" t="s">
        <v>67</v>
      </c>
      <c r="I224" s="85"/>
      <c r="J224" s="85"/>
    </row>
    <row r="225" spans="1:10">
      <c r="A225" s="13" t="s">
        <v>15</v>
      </c>
      <c r="B225" s="14" t="s">
        <v>16</v>
      </c>
      <c r="C225" s="97">
        <v>2.1</v>
      </c>
      <c r="D225" s="98">
        <v>3.38</v>
      </c>
      <c r="E225" s="15"/>
      <c r="I225" s="85"/>
      <c r="J225" s="85"/>
    </row>
    <row r="226" spans="1:10">
      <c r="A226" s="16" t="s">
        <v>17</v>
      </c>
      <c r="B226" s="17" t="s">
        <v>18</v>
      </c>
      <c r="C226" s="94">
        <f>B222</f>
        <v>2549.6</v>
      </c>
      <c r="D226" s="279">
        <f>IFERROR(+D225/C225,"-")</f>
        <v>1.6095238095238094</v>
      </c>
      <c r="E226" s="18">
        <f>IFERROR(C226*D226,"-")</f>
        <v>4103.6419047619038</v>
      </c>
      <c r="I226" s="85"/>
      <c r="J226" s="85"/>
    </row>
    <row r="227" spans="1:10">
      <c r="A227" s="16" t="s">
        <v>255</v>
      </c>
      <c r="B227" s="17" t="s">
        <v>19</v>
      </c>
      <c r="C227" s="100">
        <v>6</v>
      </c>
      <c r="D227" s="89">
        <v>17.45</v>
      </c>
      <c r="E227" s="18"/>
      <c r="G227" s="112"/>
      <c r="H227" s="52"/>
      <c r="I227" s="85"/>
      <c r="J227" s="85"/>
    </row>
    <row r="228" spans="1:10">
      <c r="A228" s="16" t="s">
        <v>20</v>
      </c>
      <c r="B228" s="17" t="s">
        <v>18</v>
      </c>
      <c r="C228" s="94">
        <f>C226</f>
        <v>2549.6</v>
      </c>
      <c r="D228" s="276">
        <f>+C227*D227/1000</f>
        <v>0.10469999999999999</v>
      </c>
      <c r="E228" s="18">
        <f>C228*D228</f>
        <v>266.94311999999996</v>
      </c>
      <c r="G228" s="112"/>
      <c r="H228" s="52"/>
      <c r="I228" s="85"/>
      <c r="J228" s="85"/>
    </row>
    <row r="229" spans="1:10">
      <c r="A229" s="16" t="s">
        <v>256</v>
      </c>
      <c r="B229" s="17" t="s">
        <v>19</v>
      </c>
      <c r="C229" s="100">
        <v>0.85</v>
      </c>
      <c r="D229" s="89">
        <v>13.45</v>
      </c>
      <c r="E229" s="18"/>
      <c r="G229" s="112"/>
      <c r="H229" s="52"/>
      <c r="I229" s="85"/>
      <c r="J229" s="85"/>
    </row>
    <row r="230" spans="1:10">
      <c r="A230" s="16" t="s">
        <v>21</v>
      </c>
      <c r="B230" s="17" t="s">
        <v>18</v>
      </c>
      <c r="C230" s="94">
        <f>C226</f>
        <v>2549.6</v>
      </c>
      <c r="D230" s="276">
        <f>+C229*D229/1000</f>
        <v>1.14325E-2</v>
      </c>
      <c r="E230" s="18">
        <f>C230*D230</f>
        <v>29.148301999999997</v>
      </c>
      <c r="G230" s="112"/>
      <c r="H230" s="52"/>
      <c r="I230" s="85"/>
      <c r="J230" s="85"/>
    </row>
    <row r="231" spans="1:10">
      <c r="A231" s="16" t="s">
        <v>257</v>
      </c>
      <c r="B231" s="17" t="s">
        <v>19</v>
      </c>
      <c r="C231" s="100">
        <v>16</v>
      </c>
      <c r="D231" s="89">
        <v>8.4499999999999993</v>
      </c>
      <c r="E231" s="18"/>
      <c r="G231" s="112"/>
      <c r="H231" s="52"/>
      <c r="I231" s="85"/>
      <c r="J231" s="85"/>
    </row>
    <row r="232" spans="1:10">
      <c r="A232" s="16" t="s">
        <v>22</v>
      </c>
      <c r="B232" s="17" t="s">
        <v>18</v>
      </c>
      <c r="C232" s="94">
        <f>C226</f>
        <v>2549.6</v>
      </c>
      <c r="D232" s="276">
        <f>+C231*D231/1000</f>
        <v>0.13519999999999999</v>
      </c>
      <c r="E232" s="18">
        <f>C232*D232</f>
        <v>344.70591999999994</v>
      </c>
      <c r="G232" s="112"/>
      <c r="H232" s="52"/>
      <c r="I232" s="85"/>
      <c r="J232" s="85"/>
    </row>
    <row r="233" spans="1:10">
      <c r="A233" s="16" t="s">
        <v>23</v>
      </c>
      <c r="B233" s="17" t="s">
        <v>24</v>
      </c>
      <c r="C233" s="100">
        <v>2</v>
      </c>
      <c r="D233" s="89">
        <v>5.4</v>
      </c>
      <c r="E233" s="18"/>
      <c r="G233" s="112"/>
      <c r="H233" s="52"/>
      <c r="I233" s="85"/>
      <c r="J233" s="85"/>
    </row>
    <row r="234" spans="1:10">
      <c r="A234" s="16" t="s">
        <v>25</v>
      </c>
      <c r="B234" s="17" t="s">
        <v>18</v>
      </c>
      <c r="C234" s="94">
        <f>C226</f>
        <v>2549.6</v>
      </c>
      <c r="D234" s="276">
        <f>+C233*D233/1000</f>
        <v>1.0800000000000001E-2</v>
      </c>
      <c r="E234" s="18">
        <f>C234*D234</f>
        <v>27.535679999999999</v>
      </c>
      <c r="G234" s="112"/>
      <c r="H234" s="52"/>
      <c r="I234" s="85"/>
      <c r="J234" s="85"/>
    </row>
    <row r="235" spans="1:10" ht="13.5" thickBot="1">
      <c r="A235" s="103" t="s">
        <v>277</v>
      </c>
      <c r="B235" s="104" t="s">
        <v>126</v>
      </c>
      <c r="C235" s="277"/>
      <c r="D235" s="278">
        <f>IFERROR(D226+D228+D230+D232+D234,0)</f>
        <v>1.8716563095238092</v>
      </c>
      <c r="E235" s="18"/>
      <c r="G235" s="112"/>
      <c r="H235" s="52"/>
      <c r="I235" s="85"/>
      <c r="J235" s="85"/>
    </row>
    <row r="236" spans="1:10" ht="13.5" thickBot="1">
      <c r="F236" s="21">
        <f>SUM(E225:E234)</f>
        <v>4771.9749267619036</v>
      </c>
      <c r="I236" s="85"/>
      <c r="J236" s="85"/>
    </row>
    <row r="237" spans="1:10">
      <c r="A237" s="7"/>
      <c r="G237" s="9"/>
    </row>
    <row r="238" spans="1:10" ht="11.25" customHeight="1">
      <c r="A238" s="11" t="s">
        <v>315</v>
      </c>
      <c r="G238" s="9"/>
    </row>
    <row r="239" spans="1:10" ht="13.5" thickBot="1">
      <c r="A239" s="107" t="s">
        <v>316</v>
      </c>
      <c r="G239" s="9"/>
    </row>
    <row r="240" spans="1:10" ht="13.5" thickBot="1">
      <c r="A240" s="60" t="s">
        <v>64</v>
      </c>
      <c r="B240" s="61" t="s">
        <v>65</v>
      </c>
      <c r="C240" s="61" t="s">
        <v>42</v>
      </c>
      <c r="D240" s="62" t="s">
        <v>254</v>
      </c>
      <c r="E240" s="62" t="s">
        <v>66</v>
      </c>
      <c r="F240" s="63" t="s">
        <v>67</v>
      </c>
      <c r="G240" s="9"/>
    </row>
    <row r="241" spans="1:10">
      <c r="A241" s="13" t="s">
        <v>112</v>
      </c>
      <c r="B241" s="14" t="s">
        <v>10</v>
      </c>
      <c r="C241" s="281">
        <v>1</v>
      </c>
      <c r="D241" s="87">
        <v>212142</v>
      </c>
      <c r="E241" s="15">
        <f>C241*D241</f>
        <v>212142</v>
      </c>
      <c r="G241" s="9"/>
    </row>
    <row r="242" spans="1:10">
      <c r="A242" s="16" t="s">
        <v>106</v>
      </c>
      <c r="B242" s="17" t="s">
        <v>107</v>
      </c>
      <c r="C242" s="86">
        <v>5</v>
      </c>
      <c r="D242" s="83"/>
      <c r="E242" s="18"/>
      <c r="G242" s="9"/>
    </row>
    <row r="243" spans="1:10">
      <c r="A243" s="16" t="s">
        <v>223</v>
      </c>
      <c r="B243" s="17" t="s">
        <v>107</v>
      </c>
      <c r="C243" s="86">
        <v>0</v>
      </c>
      <c r="D243" s="18"/>
      <c r="E243" s="18"/>
      <c r="F243" s="20"/>
      <c r="I243" s="85"/>
      <c r="J243" s="85"/>
    </row>
    <row r="244" spans="1:10">
      <c r="A244" s="16" t="s">
        <v>110</v>
      </c>
      <c r="B244" s="17" t="s">
        <v>2</v>
      </c>
      <c r="C244" s="142">
        <f>C185</f>
        <v>55.679999999999993</v>
      </c>
      <c r="D244" s="18">
        <f>E241</f>
        <v>212142</v>
      </c>
      <c r="E244" s="18">
        <f>C244*D244/100</f>
        <v>118120.66559999999</v>
      </c>
    </row>
    <row r="245" spans="1:10" ht="13.5" thickBot="1">
      <c r="A245" s="287" t="s">
        <v>52</v>
      </c>
      <c r="B245" s="288" t="s">
        <v>8</v>
      </c>
      <c r="C245" s="288">
        <f>C242*12</f>
        <v>60</v>
      </c>
      <c r="D245" s="289">
        <f>IF(C243&lt;=C242,E244,0)</f>
        <v>118120.66559999999</v>
      </c>
      <c r="E245" s="289">
        <f>IFERROR(D245/C245,0)</f>
        <v>1968.6777599999998</v>
      </c>
    </row>
    <row r="246" spans="1:10" ht="13.5" thickTop="1">
      <c r="A246" s="312" t="s">
        <v>323</v>
      </c>
      <c r="B246" s="14" t="s">
        <v>10</v>
      </c>
      <c r="C246" s="14">
        <f>C241</f>
        <v>1</v>
      </c>
      <c r="D246" s="87">
        <v>557300</v>
      </c>
      <c r="E246" s="15">
        <f>C246*D246</f>
        <v>557300</v>
      </c>
      <c r="G246" s="9"/>
    </row>
    <row r="247" spans="1:10">
      <c r="A247" s="314" t="s">
        <v>337</v>
      </c>
      <c r="B247" s="17" t="s">
        <v>107</v>
      </c>
      <c r="C247" s="86">
        <v>5</v>
      </c>
      <c r="D247" s="18"/>
      <c r="E247" s="18"/>
    </row>
    <row r="248" spans="1:10">
      <c r="A248" s="314" t="s">
        <v>338</v>
      </c>
      <c r="B248" s="17" t="s">
        <v>107</v>
      </c>
      <c r="C248" s="86">
        <v>0</v>
      </c>
      <c r="D248" s="18"/>
      <c r="E248" s="18"/>
      <c r="F248" s="20"/>
      <c r="I248" s="85"/>
      <c r="J248" s="85"/>
    </row>
    <row r="249" spans="1:10">
      <c r="A249" s="314" t="s">
        <v>339</v>
      </c>
      <c r="B249" s="17" t="s">
        <v>2</v>
      </c>
      <c r="C249" s="143">
        <f>C190</f>
        <v>55.679999999999993</v>
      </c>
      <c r="D249" s="18">
        <f>E246</f>
        <v>557300</v>
      </c>
      <c r="E249" s="18">
        <f>C249*D249/100</f>
        <v>310304.63999999996</v>
      </c>
    </row>
    <row r="250" spans="1:10">
      <c r="A250" s="103" t="s">
        <v>340</v>
      </c>
      <c r="B250" s="104" t="s">
        <v>8</v>
      </c>
      <c r="C250" s="104">
        <f>C247*12</f>
        <v>60</v>
      </c>
      <c r="D250" s="105">
        <f>IF(C248&lt;=C247,E249,0)</f>
        <v>310304.63999999996</v>
      </c>
      <c r="E250" s="105">
        <f>IFERROR(D250/C250,0)</f>
        <v>5171.7439999999997</v>
      </c>
    </row>
    <row r="251" spans="1:10">
      <c r="A251" s="117" t="s">
        <v>279</v>
      </c>
      <c r="B251" s="118"/>
      <c r="C251" s="118"/>
      <c r="D251" s="119"/>
      <c r="E251" s="120">
        <f>E245+E250</f>
        <v>7140.4217599999993</v>
      </c>
    </row>
    <row r="252" spans="1:10" ht="13.5" thickBot="1">
      <c r="A252" s="103" t="s">
        <v>280</v>
      </c>
      <c r="B252" s="104" t="s">
        <v>10</v>
      </c>
      <c r="C252" s="86">
        <v>1</v>
      </c>
      <c r="D252" s="105">
        <f>E251</f>
        <v>7140.4217599999993</v>
      </c>
      <c r="E252" s="120">
        <f>C252*D252</f>
        <v>7140.4217599999993</v>
      </c>
    </row>
    <row r="253" spans="1:10" ht="13.5" thickBot="1">
      <c r="A253" s="280"/>
      <c r="B253" s="280"/>
      <c r="C253" s="280"/>
      <c r="D253" s="124" t="s">
        <v>205</v>
      </c>
      <c r="E253" s="50">
        <v>0.16666666666666666</v>
      </c>
      <c r="F253" s="21">
        <f>E252*E253</f>
        <v>1190.0702933333332</v>
      </c>
    </row>
    <row r="254" spans="1:10" ht="11.25" customHeight="1"/>
    <row r="255" spans="1:10" ht="13.5" thickBot="1">
      <c r="A255" s="107" t="s">
        <v>317</v>
      </c>
    </row>
    <row r="256" spans="1:10" ht="13.5" thickBot="1">
      <c r="A256" s="109" t="s">
        <v>64</v>
      </c>
      <c r="B256" s="110" t="s">
        <v>65</v>
      </c>
      <c r="C256" s="110" t="s">
        <v>42</v>
      </c>
      <c r="D256" s="62" t="s">
        <v>254</v>
      </c>
      <c r="E256" s="111" t="s">
        <v>66</v>
      </c>
      <c r="F256" s="63" t="s">
        <v>67</v>
      </c>
      <c r="I256" s="85"/>
      <c r="J256" s="85"/>
    </row>
    <row r="257" spans="1:10">
      <c r="A257" s="16" t="s">
        <v>116</v>
      </c>
      <c r="B257" s="17" t="s">
        <v>10</v>
      </c>
      <c r="C257" s="281">
        <v>1</v>
      </c>
      <c r="D257" s="18">
        <f>D241</f>
        <v>212142</v>
      </c>
      <c r="E257" s="18">
        <f>C257*D257</f>
        <v>212142</v>
      </c>
      <c r="F257" s="20"/>
      <c r="I257" s="85"/>
      <c r="J257" s="85"/>
    </row>
    <row r="258" spans="1:10">
      <c r="A258" s="16" t="s">
        <v>227</v>
      </c>
      <c r="B258" s="17" t="s">
        <v>2</v>
      </c>
      <c r="C258" s="86">
        <v>6.43</v>
      </c>
      <c r="D258" s="18"/>
      <c r="E258" s="18"/>
      <c r="F258" s="20"/>
      <c r="G258" s="311" t="s">
        <v>309</v>
      </c>
      <c r="I258" s="85"/>
      <c r="J258" s="85"/>
    </row>
    <row r="259" spans="1:10">
      <c r="A259" s="16" t="s">
        <v>225</v>
      </c>
      <c r="B259" s="17" t="s">
        <v>35</v>
      </c>
      <c r="C259" s="150">
        <f>IFERROR(IF(C243&lt;=C242,E241-(C244/(100*C242)*C243)*E241,E241-E244),0)</f>
        <v>212142</v>
      </c>
      <c r="D259" s="18"/>
      <c r="E259" s="18"/>
      <c r="F259" s="20"/>
      <c r="I259" s="85"/>
      <c r="J259" s="85"/>
    </row>
    <row r="260" spans="1:10">
      <c r="A260" s="16" t="s">
        <v>121</v>
      </c>
      <c r="B260" s="17" t="s">
        <v>35</v>
      </c>
      <c r="C260" s="83">
        <f>IFERROR(IF(C243&gt;=C242,C259,((((C259)-(E241-E244))*(((C242-C243)+1)/(2*(C242-C243))))+(E241-E244))),0)</f>
        <v>164893.73376</v>
      </c>
      <c r="D260" s="18"/>
      <c r="E260" s="18"/>
      <c r="F260" s="20"/>
      <c r="I260" s="85"/>
      <c r="J260" s="85"/>
    </row>
    <row r="261" spans="1:10" ht="13.5" thickBot="1">
      <c r="A261" s="287" t="s">
        <v>122</v>
      </c>
      <c r="B261" s="288" t="s">
        <v>35</v>
      </c>
      <c r="C261" s="288"/>
      <c r="D261" s="290">
        <f>C258*C260/12/100</f>
        <v>883.55559006399994</v>
      </c>
      <c r="E261" s="289">
        <f>D261</f>
        <v>883.55559006399994</v>
      </c>
      <c r="F261" s="20"/>
      <c r="I261" s="85"/>
      <c r="J261" s="85"/>
    </row>
    <row r="262" spans="1:10" ht="13.5" thickTop="1">
      <c r="A262" s="312" t="s">
        <v>341</v>
      </c>
      <c r="B262" s="14" t="s">
        <v>10</v>
      </c>
      <c r="C262" s="14">
        <f>C246</f>
        <v>1</v>
      </c>
      <c r="D262" s="15">
        <f>D246</f>
        <v>557300</v>
      </c>
      <c r="E262" s="15">
        <f>C262*D262</f>
        <v>557300</v>
      </c>
      <c r="F262" s="20"/>
      <c r="I262" s="85"/>
      <c r="J262" s="85"/>
    </row>
    <row r="263" spans="1:10">
      <c r="A263" s="16" t="s">
        <v>227</v>
      </c>
      <c r="B263" s="17" t="s">
        <v>2</v>
      </c>
      <c r="C263" s="282">
        <f>C258</f>
        <v>6.43</v>
      </c>
      <c r="D263" s="18"/>
      <c r="E263" s="18"/>
      <c r="F263" s="20"/>
      <c r="I263" s="85"/>
      <c r="J263" s="85"/>
    </row>
    <row r="264" spans="1:10">
      <c r="A264" s="16" t="s">
        <v>226</v>
      </c>
      <c r="B264" s="17" t="s">
        <v>35</v>
      </c>
      <c r="C264" s="150">
        <f>IFERROR(IF(C248&lt;=C247,E246-(C249/(100*C247)*C248)*E246,E246-E249),0)</f>
        <v>557300</v>
      </c>
      <c r="D264" s="18"/>
      <c r="E264" s="18"/>
      <c r="F264" s="20"/>
      <c r="I264" s="85"/>
      <c r="J264" s="85"/>
    </row>
    <row r="265" spans="1:10">
      <c r="A265" s="16" t="s">
        <v>123</v>
      </c>
      <c r="B265" s="17" t="s">
        <v>35</v>
      </c>
      <c r="C265" s="83">
        <f>IFERROR(IF(C248&gt;=C247,C264,((((C264)-(E246-E249))*(((C247-C248)+1)/(2*(C247-C248))))+(E246-E249))),0)</f>
        <v>433178.14399999997</v>
      </c>
      <c r="D265" s="18"/>
      <c r="E265" s="18"/>
      <c r="F265" s="20"/>
      <c r="I265" s="85"/>
      <c r="J265" s="85"/>
    </row>
    <row r="266" spans="1:10">
      <c r="A266" s="103" t="s">
        <v>120</v>
      </c>
      <c r="B266" s="104" t="s">
        <v>35</v>
      </c>
      <c r="C266" s="104"/>
      <c r="D266" s="113">
        <f>C263*C265/12/100</f>
        <v>2321.1128882666667</v>
      </c>
      <c r="E266" s="105">
        <f>D266</f>
        <v>2321.1128882666667</v>
      </c>
      <c r="F266" s="20"/>
      <c r="I266" s="85"/>
      <c r="J266" s="85"/>
    </row>
    <row r="267" spans="1:10">
      <c r="A267" s="117" t="s">
        <v>279</v>
      </c>
      <c r="B267" s="118"/>
      <c r="C267" s="118"/>
      <c r="D267" s="119"/>
      <c r="E267" s="120">
        <f>E261+E266</f>
        <v>3204.6684783306664</v>
      </c>
      <c r="F267" s="20"/>
      <c r="I267" s="85"/>
      <c r="J267" s="85"/>
    </row>
    <row r="268" spans="1:10" ht="13.5" thickBot="1">
      <c r="A268" s="103" t="s">
        <v>280</v>
      </c>
      <c r="B268" s="104" t="s">
        <v>10</v>
      </c>
      <c r="C268" s="282">
        <f>C252</f>
        <v>1</v>
      </c>
      <c r="D268" s="105">
        <f>E267</f>
        <v>3204.6684783306664</v>
      </c>
      <c r="E268" s="120">
        <f>C268*D268</f>
        <v>3204.6684783306664</v>
      </c>
      <c r="F268" s="20"/>
      <c r="I268" s="85"/>
      <c r="J268" s="85"/>
    </row>
    <row r="269" spans="1:10" ht="13.5" thickBot="1">
      <c r="C269" s="19"/>
      <c r="D269" s="124" t="s">
        <v>205</v>
      </c>
      <c r="E269" s="50">
        <v>0.17</v>
      </c>
      <c r="F269" s="21">
        <f>E268*E269</f>
        <v>544.79364131621332</v>
      </c>
      <c r="I269" s="85"/>
      <c r="J269" s="85"/>
    </row>
    <row r="270" spans="1:10" ht="11.25" customHeight="1">
      <c r="I270" s="85"/>
      <c r="J270" s="85"/>
    </row>
    <row r="271" spans="1:10" ht="13.5" thickBot="1">
      <c r="A271" s="7" t="s">
        <v>318</v>
      </c>
      <c r="I271" s="85"/>
      <c r="J271" s="85"/>
    </row>
    <row r="272" spans="1:10" ht="13.5" thickBot="1">
      <c r="A272" s="60" t="s">
        <v>64</v>
      </c>
      <c r="B272" s="61" t="s">
        <v>65</v>
      </c>
      <c r="C272" s="61" t="s">
        <v>42</v>
      </c>
      <c r="D272" s="62" t="s">
        <v>254</v>
      </c>
      <c r="E272" s="62" t="s">
        <v>66</v>
      </c>
      <c r="F272" s="63" t="s">
        <v>67</v>
      </c>
      <c r="I272" s="85"/>
      <c r="J272" s="85"/>
    </row>
    <row r="273" spans="1:10">
      <c r="A273" s="13" t="s">
        <v>12</v>
      </c>
      <c r="B273" s="14" t="s">
        <v>10</v>
      </c>
      <c r="C273" s="15">
        <f>C241</f>
        <v>1</v>
      </c>
      <c r="D273" s="15">
        <f>0.01*D241</f>
        <v>2121.42</v>
      </c>
      <c r="E273" s="15">
        <f>C273*D273</f>
        <v>2121.42</v>
      </c>
      <c r="I273" s="85"/>
      <c r="J273" s="85"/>
    </row>
    <row r="274" spans="1:10">
      <c r="A274" s="16" t="s">
        <v>204</v>
      </c>
      <c r="B274" s="17" t="s">
        <v>10</v>
      </c>
      <c r="C274" s="15">
        <f>C241</f>
        <v>1</v>
      </c>
      <c r="D274" s="89">
        <v>16.760000000000002</v>
      </c>
      <c r="E274" s="18">
        <f>C274*D274</f>
        <v>16.760000000000002</v>
      </c>
      <c r="I274" s="85"/>
      <c r="J274" s="85"/>
    </row>
    <row r="275" spans="1:10">
      <c r="A275" s="16" t="s">
        <v>13</v>
      </c>
      <c r="B275" s="17" t="s">
        <v>10</v>
      </c>
      <c r="C275" s="15">
        <f>C241</f>
        <v>1</v>
      </c>
      <c r="D275" s="89">
        <v>1450</v>
      </c>
      <c r="E275" s="18">
        <f>C275*D275</f>
        <v>1450</v>
      </c>
      <c r="F275" s="31"/>
      <c r="I275" s="85"/>
      <c r="J275" s="85"/>
    </row>
    <row r="276" spans="1:10" ht="13.5" thickBot="1">
      <c r="A276" s="103" t="s">
        <v>14</v>
      </c>
      <c r="B276" s="104" t="s">
        <v>8</v>
      </c>
      <c r="C276" s="104">
        <v>12</v>
      </c>
      <c r="D276" s="105">
        <f>SUM(E273:E275)</f>
        <v>3588.1800000000003</v>
      </c>
      <c r="E276" s="105">
        <f>D276/C276</f>
        <v>299.01500000000004</v>
      </c>
      <c r="I276" s="85"/>
      <c r="J276" s="85"/>
    </row>
    <row r="277" spans="1:10" ht="13.5" thickBot="1">
      <c r="D277" s="124" t="s">
        <v>205</v>
      </c>
      <c r="E277" s="50">
        <v>0.17</v>
      </c>
      <c r="F277" s="125">
        <f>E276*E277</f>
        <v>50.832550000000012</v>
      </c>
      <c r="I277" s="85"/>
      <c r="J277" s="85"/>
    </row>
    <row r="278" spans="1:10" ht="11.25" customHeight="1">
      <c r="I278" s="85"/>
      <c r="J278" s="85"/>
    </row>
    <row r="279" spans="1:10">
      <c r="A279" s="7" t="s">
        <v>319</v>
      </c>
      <c r="B279" s="32"/>
      <c r="I279" s="85"/>
      <c r="J279" s="85"/>
    </row>
    <row r="280" spans="1:10">
      <c r="B280" s="32"/>
      <c r="I280" s="85"/>
      <c r="J280" s="85"/>
    </row>
    <row r="281" spans="1:10">
      <c r="A281" s="103" t="s">
        <v>125</v>
      </c>
      <c r="B281" s="114">
        <v>200</v>
      </c>
      <c r="I281" s="85"/>
      <c r="J281" s="85"/>
    </row>
    <row r="282" spans="1:10" ht="13.5" thickBot="1">
      <c r="B282" s="32"/>
      <c r="I282" s="85"/>
      <c r="J282" s="85"/>
    </row>
    <row r="283" spans="1:10" ht="13.5" thickBot="1">
      <c r="A283" s="60" t="s">
        <v>64</v>
      </c>
      <c r="B283" s="61" t="s">
        <v>65</v>
      </c>
      <c r="C283" s="61" t="s">
        <v>278</v>
      </c>
      <c r="D283" s="62" t="s">
        <v>254</v>
      </c>
      <c r="E283" s="62" t="s">
        <v>66</v>
      </c>
      <c r="F283" s="63" t="s">
        <v>67</v>
      </c>
      <c r="I283" s="85"/>
      <c r="J283" s="85"/>
    </row>
    <row r="284" spans="1:10">
      <c r="A284" s="13" t="s">
        <v>15</v>
      </c>
      <c r="B284" s="14" t="s">
        <v>16</v>
      </c>
      <c r="C284" s="97">
        <v>2.1</v>
      </c>
      <c r="D284" s="98">
        <v>3.38</v>
      </c>
      <c r="E284" s="15"/>
      <c r="I284" s="85"/>
      <c r="J284" s="85"/>
    </row>
    <row r="285" spans="1:10">
      <c r="A285" s="16" t="s">
        <v>17</v>
      </c>
      <c r="B285" s="17" t="s">
        <v>18</v>
      </c>
      <c r="C285" s="94">
        <f>B281</f>
        <v>200</v>
      </c>
      <c r="D285" s="279">
        <f>IFERROR(+D284/C284,"-")</f>
        <v>1.6095238095238094</v>
      </c>
      <c r="E285" s="18">
        <f>IFERROR(C285*D285,"-")</f>
        <v>321.90476190476187</v>
      </c>
      <c r="I285" s="85"/>
      <c r="J285" s="85"/>
    </row>
    <row r="286" spans="1:10">
      <c r="A286" s="16" t="s">
        <v>255</v>
      </c>
      <c r="B286" s="17" t="s">
        <v>19</v>
      </c>
      <c r="C286" s="100">
        <v>6</v>
      </c>
      <c r="D286" s="89">
        <v>17.45</v>
      </c>
      <c r="E286" s="18"/>
      <c r="G286" s="112"/>
      <c r="H286" s="52"/>
      <c r="I286" s="85"/>
      <c r="J286" s="85"/>
    </row>
    <row r="287" spans="1:10">
      <c r="A287" s="16" t="s">
        <v>20</v>
      </c>
      <c r="B287" s="17" t="s">
        <v>18</v>
      </c>
      <c r="C287" s="94">
        <f>C285</f>
        <v>200</v>
      </c>
      <c r="D287" s="276">
        <f>+C286*D286/1000</f>
        <v>0.10469999999999999</v>
      </c>
      <c r="E287" s="18">
        <f>C287*D287</f>
        <v>20.939999999999998</v>
      </c>
      <c r="G287" s="112"/>
      <c r="H287" s="52"/>
      <c r="I287" s="85"/>
      <c r="J287" s="85"/>
    </row>
    <row r="288" spans="1:10">
      <c r="A288" s="16" t="s">
        <v>256</v>
      </c>
      <c r="B288" s="17" t="s">
        <v>19</v>
      </c>
      <c r="C288" s="100">
        <v>0.85</v>
      </c>
      <c r="D288" s="89">
        <v>13.45</v>
      </c>
      <c r="E288" s="18"/>
      <c r="G288" s="112"/>
      <c r="H288" s="52"/>
      <c r="I288" s="85"/>
      <c r="J288" s="85"/>
    </row>
    <row r="289" spans="1:10">
      <c r="A289" s="16" t="s">
        <v>21</v>
      </c>
      <c r="B289" s="17" t="s">
        <v>18</v>
      </c>
      <c r="C289" s="94">
        <f>C285</f>
        <v>200</v>
      </c>
      <c r="D289" s="276">
        <f>+C288*D288/1000</f>
        <v>1.14325E-2</v>
      </c>
      <c r="E289" s="18">
        <f>C289*D289</f>
        <v>2.2865000000000002</v>
      </c>
      <c r="G289" s="112"/>
      <c r="H289" s="52"/>
      <c r="I289" s="85"/>
      <c r="J289" s="85"/>
    </row>
    <row r="290" spans="1:10">
      <c r="A290" s="16" t="s">
        <v>257</v>
      </c>
      <c r="B290" s="17" t="s">
        <v>19</v>
      </c>
      <c r="C290" s="100">
        <v>16</v>
      </c>
      <c r="D290" s="89">
        <v>8.4499999999999993</v>
      </c>
      <c r="E290" s="18"/>
      <c r="G290" s="112"/>
      <c r="H290" s="52"/>
      <c r="I290" s="85"/>
      <c r="J290" s="85"/>
    </row>
    <row r="291" spans="1:10">
      <c r="A291" s="16" t="s">
        <v>22</v>
      </c>
      <c r="B291" s="17" t="s">
        <v>18</v>
      </c>
      <c r="C291" s="94">
        <f>C285</f>
        <v>200</v>
      </c>
      <c r="D291" s="276">
        <f>+C290*D290/1000</f>
        <v>0.13519999999999999</v>
      </c>
      <c r="E291" s="18">
        <f>C291*D291</f>
        <v>27.04</v>
      </c>
      <c r="G291" s="112"/>
      <c r="H291" s="52"/>
      <c r="I291" s="85"/>
      <c r="J291" s="85"/>
    </row>
    <row r="292" spans="1:10">
      <c r="A292" s="16" t="s">
        <v>23</v>
      </c>
      <c r="B292" s="17" t="s">
        <v>24</v>
      </c>
      <c r="C292" s="100">
        <v>2</v>
      </c>
      <c r="D292" s="89">
        <v>5.4</v>
      </c>
      <c r="E292" s="18"/>
      <c r="G292" s="112"/>
      <c r="H292" s="52"/>
      <c r="I292" s="85"/>
      <c r="J292" s="85"/>
    </row>
    <row r="293" spans="1:10">
      <c r="A293" s="16" t="s">
        <v>25</v>
      </c>
      <c r="B293" s="17" t="s">
        <v>18</v>
      </c>
      <c r="C293" s="94">
        <f>C285</f>
        <v>200</v>
      </c>
      <c r="D293" s="276">
        <f>+C292*D292/1000</f>
        <v>1.0800000000000001E-2</v>
      </c>
      <c r="E293" s="18">
        <f>C293*D293</f>
        <v>2.16</v>
      </c>
      <c r="G293" s="112"/>
      <c r="H293" s="52"/>
      <c r="I293" s="85"/>
      <c r="J293" s="85"/>
    </row>
    <row r="294" spans="1:10" ht="13.5" thickBot="1">
      <c r="A294" s="103" t="s">
        <v>277</v>
      </c>
      <c r="B294" s="104" t="s">
        <v>126</v>
      </c>
      <c r="C294" s="277"/>
      <c r="D294" s="278">
        <f>IFERROR(D285+D287+D289+D291+D293,0)</f>
        <v>1.8716563095238092</v>
      </c>
      <c r="E294" s="18"/>
      <c r="G294" s="112"/>
      <c r="H294" s="52"/>
      <c r="I294" s="85"/>
      <c r="J294" s="85"/>
    </row>
    <row r="295" spans="1:10" ht="13.5" thickBot="1">
      <c r="F295" s="21">
        <f>SUM(E284:E293)</f>
        <v>374.3312619047619</v>
      </c>
      <c r="I295" s="85"/>
      <c r="J295" s="85"/>
    </row>
    <row r="296" spans="1:10" ht="11.25" customHeight="1">
      <c r="I296" s="85"/>
      <c r="J296" s="85"/>
    </row>
    <row r="297" spans="1:10" ht="13.5" thickBot="1">
      <c r="A297" s="7" t="s">
        <v>320</v>
      </c>
      <c r="I297" s="85"/>
      <c r="J297" s="85"/>
    </row>
    <row r="298" spans="1:10" ht="13.5" thickBot="1">
      <c r="A298" s="60" t="s">
        <v>64</v>
      </c>
      <c r="B298" s="61" t="s">
        <v>65</v>
      </c>
      <c r="C298" s="61" t="s">
        <v>42</v>
      </c>
      <c r="D298" s="62" t="s">
        <v>254</v>
      </c>
      <c r="E298" s="62" t="s">
        <v>66</v>
      </c>
      <c r="F298" s="63" t="s">
        <v>67</v>
      </c>
      <c r="I298" s="85"/>
      <c r="J298" s="85"/>
    </row>
    <row r="299" spans="1:10" ht="13.5" thickBot="1">
      <c r="A299" s="13" t="s">
        <v>124</v>
      </c>
      <c r="B299" s="14" t="s">
        <v>126</v>
      </c>
      <c r="C299" s="94">
        <f>C226</f>
        <v>2549.6</v>
      </c>
      <c r="D299" s="87">
        <v>0.75</v>
      </c>
      <c r="E299" s="15">
        <f>C299*D299</f>
        <v>1912.1999999999998</v>
      </c>
      <c r="I299" s="85"/>
      <c r="J299" s="85"/>
    </row>
    <row r="300" spans="1:10" ht="13.5" thickBot="1">
      <c r="F300" s="21">
        <f>E299</f>
        <v>1912.1999999999998</v>
      </c>
      <c r="I300" s="85"/>
      <c r="J300" s="85"/>
    </row>
    <row r="301" spans="1:10" ht="11.25" customHeight="1">
      <c r="I301" s="85"/>
      <c r="J301" s="85"/>
    </row>
    <row r="302" spans="1:10" ht="13.5" thickBot="1">
      <c r="A302" s="7" t="s">
        <v>321</v>
      </c>
      <c r="I302" s="85"/>
      <c r="J302" s="85"/>
    </row>
    <row r="303" spans="1:10" ht="13.5" thickBot="1">
      <c r="A303" s="60" t="s">
        <v>64</v>
      </c>
      <c r="B303" s="61" t="s">
        <v>65</v>
      </c>
      <c r="C303" s="61" t="s">
        <v>42</v>
      </c>
      <c r="D303" s="62" t="s">
        <v>254</v>
      </c>
      <c r="E303" s="62" t="s">
        <v>66</v>
      </c>
      <c r="F303" s="63" t="s">
        <v>67</v>
      </c>
      <c r="I303" s="85"/>
      <c r="J303" s="85"/>
    </row>
    <row r="304" spans="1:10">
      <c r="A304" s="13" t="s">
        <v>96</v>
      </c>
      <c r="B304" s="14" t="s">
        <v>10</v>
      </c>
      <c r="C304" s="96">
        <v>6</v>
      </c>
      <c r="D304" s="87">
        <v>1450</v>
      </c>
      <c r="E304" s="15">
        <f>C304*D304</f>
        <v>8700</v>
      </c>
      <c r="I304" s="85"/>
      <c r="J304" s="85"/>
    </row>
    <row r="305" spans="1:10">
      <c r="A305" s="13" t="s">
        <v>127</v>
      </c>
      <c r="B305" s="14" t="s">
        <v>10</v>
      </c>
      <c r="C305" s="96">
        <v>2</v>
      </c>
      <c r="D305" s="106"/>
      <c r="E305" s="15"/>
      <c r="I305" s="85"/>
      <c r="J305" s="85"/>
    </row>
    <row r="306" spans="1:10">
      <c r="A306" s="13" t="s">
        <v>72</v>
      </c>
      <c r="B306" s="14" t="s">
        <v>10</v>
      </c>
      <c r="C306" s="15">
        <f>C304*C305</f>
        <v>12</v>
      </c>
      <c r="D306" s="87">
        <v>450</v>
      </c>
      <c r="E306" s="15">
        <f>C306*D306</f>
        <v>5400</v>
      </c>
      <c r="I306" s="85"/>
      <c r="J306" s="85"/>
    </row>
    <row r="307" spans="1:10">
      <c r="A307" s="16" t="s">
        <v>97</v>
      </c>
      <c r="B307" s="17" t="s">
        <v>26</v>
      </c>
      <c r="C307" s="99">
        <v>60000</v>
      </c>
      <c r="D307" s="18">
        <f>E304+E306</f>
        <v>14100</v>
      </c>
      <c r="E307" s="18">
        <f>IFERROR(D307/C307,"-")</f>
        <v>0.23499999999999999</v>
      </c>
      <c r="I307" s="85"/>
      <c r="J307" s="85"/>
    </row>
    <row r="308" spans="1:10" ht="13.5" thickBot="1">
      <c r="A308" s="16" t="s">
        <v>56</v>
      </c>
      <c r="B308" s="17" t="s">
        <v>18</v>
      </c>
      <c r="C308" s="94">
        <f>B222</f>
        <v>2549.6</v>
      </c>
      <c r="D308" s="18">
        <f>E307</f>
        <v>0.23499999999999999</v>
      </c>
      <c r="E308" s="18">
        <f>IFERROR(C308*D308,0)</f>
        <v>599.15599999999995</v>
      </c>
      <c r="I308" s="85"/>
      <c r="J308" s="85"/>
    </row>
    <row r="309" spans="1:10" ht="13.5" thickBot="1">
      <c r="F309" s="21">
        <f>E308</f>
        <v>599.15599999999995</v>
      </c>
      <c r="I309" s="85"/>
      <c r="J309" s="85"/>
    </row>
    <row r="310" spans="1:10" ht="11.25" customHeight="1">
      <c r="I310" s="85"/>
      <c r="J310" s="85"/>
    </row>
    <row r="311" spans="1:10" ht="13.5" thickBot="1">
      <c r="A311" s="7" t="s">
        <v>322</v>
      </c>
      <c r="I311" s="85"/>
      <c r="J311" s="85"/>
    </row>
    <row r="312" spans="1:10" ht="13.5" thickBot="1">
      <c r="A312" s="60" t="s">
        <v>64</v>
      </c>
      <c r="B312" s="61" t="s">
        <v>65</v>
      </c>
      <c r="C312" s="61" t="s">
        <v>42</v>
      </c>
      <c r="D312" s="62" t="s">
        <v>254</v>
      </c>
      <c r="E312" s="62" t="s">
        <v>66</v>
      </c>
      <c r="F312" s="63" t="s">
        <v>67</v>
      </c>
      <c r="I312" s="85"/>
      <c r="J312" s="85"/>
    </row>
    <row r="313" spans="1:10" ht="13.5" thickBot="1">
      <c r="A313" s="312" t="s">
        <v>313</v>
      </c>
      <c r="B313" s="14" t="s">
        <v>10</v>
      </c>
      <c r="C313" s="96">
        <v>24</v>
      </c>
      <c r="D313" s="87">
        <v>30.5</v>
      </c>
      <c r="E313" s="15">
        <f>C313*D313</f>
        <v>732</v>
      </c>
      <c r="I313" s="85"/>
      <c r="J313" s="85"/>
    </row>
    <row r="314" spans="1:10" ht="13.5" thickBot="1">
      <c r="F314" s="21">
        <f>E313</f>
        <v>732</v>
      </c>
      <c r="I314" s="85"/>
      <c r="J314" s="85"/>
    </row>
    <row r="315" spans="1:10" ht="11.25" customHeight="1">
      <c r="A315" s="7" t="s">
        <v>324</v>
      </c>
      <c r="G315" s="9"/>
    </row>
    <row r="316" spans="1:10" ht="11.25" customHeight="1">
      <c r="A316" s="7" t="s">
        <v>326</v>
      </c>
      <c r="G316" s="9"/>
    </row>
    <row r="317" spans="1:10" ht="13.5" thickBot="1">
      <c r="A317" s="107" t="s">
        <v>325</v>
      </c>
      <c r="G317" s="9"/>
    </row>
    <row r="318" spans="1:10" ht="13.5" thickBot="1">
      <c r="A318" s="60" t="s">
        <v>64</v>
      </c>
      <c r="B318" s="61" t="s">
        <v>65</v>
      </c>
      <c r="C318" s="61" t="s">
        <v>42</v>
      </c>
      <c r="D318" s="62" t="s">
        <v>254</v>
      </c>
      <c r="E318" s="62" t="s">
        <v>66</v>
      </c>
      <c r="F318" s="63" t="s">
        <v>67</v>
      </c>
      <c r="G318" s="9"/>
    </row>
    <row r="319" spans="1:10">
      <c r="A319" s="312" t="s">
        <v>327</v>
      </c>
      <c r="B319" s="14" t="s">
        <v>10</v>
      </c>
      <c r="C319" s="281">
        <v>1</v>
      </c>
      <c r="D319" s="87">
        <v>4830</v>
      </c>
      <c r="E319" s="15">
        <f>C319*D319</f>
        <v>4830</v>
      </c>
      <c r="G319" s="9"/>
    </row>
    <row r="320" spans="1:10">
      <c r="A320" s="314" t="s">
        <v>343</v>
      </c>
      <c r="B320" s="17" t="s">
        <v>107</v>
      </c>
      <c r="C320" s="86">
        <v>5</v>
      </c>
      <c r="D320" s="83"/>
      <c r="E320" s="18"/>
      <c r="G320" s="9"/>
    </row>
    <row r="321" spans="1:10">
      <c r="A321" s="314" t="s">
        <v>344</v>
      </c>
      <c r="B321" s="17" t="s">
        <v>107</v>
      </c>
      <c r="C321" s="86">
        <v>0</v>
      </c>
      <c r="D321" s="18"/>
      <c r="E321" s="18"/>
      <c r="F321" s="20"/>
      <c r="I321" s="85"/>
      <c r="J321" s="85"/>
    </row>
    <row r="322" spans="1:10">
      <c r="A322" s="314" t="s">
        <v>328</v>
      </c>
      <c r="B322" s="17" t="s">
        <v>2</v>
      </c>
      <c r="C322" s="142">
        <f>'5. Depreciação'!B7</f>
        <v>55.679999999999993</v>
      </c>
      <c r="D322" s="18">
        <f>E319</f>
        <v>4830</v>
      </c>
      <c r="E322" s="18">
        <f>C322*D322/100</f>
        <v>2689.3439999999996</v>
      </c>
    </row>
    <row r="323" spans="1:10" ht="13.5" thickBot="1">
      <c r="A323" s="287" t="s">
        <v>329</v>
      </c>
      <c r="B323" s="288" t="s">
        <v>8</v>
      </c>
      <c r="C323" s="288">
        <f>C320*12</f>
        <v>60</v>
      </c>
      <c r="D323" s="289">
        <f>IF(C321&lt;=C320,E322,0)</f>
        <v>2689.3439999999996</v>
      </c>
      <c r="E323" s="289">
        <f>IFERROR(D323/C323,0)</f>
        <v>44.822399999999995</v>
      </c>
    </row>
    <row r="324" spans="1:10" ht="13.5" thickTop="1">
      <c r="A324" s="117"/>
      <c r="B324" s="118"/>
      <c r="C324" s="118"/>
      <c r="D324" s="119"/>
      <c r="E324" s="120">
        <f>E323</f>
        <v>44.822399999999995</v>
      </c>
    </row>
    <row r="325" spans="1:10" ht="13.5" thickBot="1">
      <c r="A325" s="103" t="s">
        <v>330</v>
      </c>
      <c r="B325" s="104" t="s">
        <v>10</v>
      </c>
      <c r="C325" s="86">
        <v>80</v>
      </c>
      <c r="D325" s="105">
        <f>E324</f>
        <v>44.822399999999995</v>
      </c>
      <c r="E325" s="120">
        <f>C325*D325</f>
        <v>3585.7919999999995</v>
      </c>
    </row>
    <row r="326" spans="1:10" ht="13.5" thickBot="1">
      <c r="A326" s="280"/>
      <c r="B326" s="280"/>
      <c r="C326" s="280"/>
      <c r="D326" s="124" t="s">
        <v>205</v>
      </c>
      <c r="E326" s="50">
        <v>1</v>
      </c>
      <c r="F326" s="21">
        <f>E325*E326</f>
        <v>3585.7919999999995</v>
      </c>
    </row>
    <row r="327" spans="1:10" ht="11.25" customHeight="1"/>
    <row r="328" spans="1:10" ht="13.5" thickBot="1">
      <c r="A328" s="107" t="s">
        <v>331</v>
      </c>
    </row>
    <row r="329" spans="1:10" ht="13.5" thickBot="1">
      <c r="A329" s="109" t="s">
        <v>64</v>
      </c>
      <c r="B329" s="110" t="s">
        <v>65</v>
      </c>
      <c r="C329" s="110" t="s">
        <v>42</v>
      </c>
      <c r="D329" s="62" t="s">
        <v>254</v>
      </c>
      <c r="E329" s="111" t="s">
        <v>66</v>
      </c>
      <c r="F329" s="63" t="s">
        <v>67</v>
      </c>
      <c r="I329" s="85"/>
      <c r="J329" s="85"/>
    </row>
    <row r="330" spans="1:10">
      <c r="A330" s="312" t="s">
        <v>327</v>
      </c>
      <c r="B330" s="17" t="s">
        <v>10</v>
      </c>
      <c r="C330" s="281">
        <v>1</v>
      </c>
      <c r="D330" s="18">
        <f>D319</f>
        <v>4830</v>
      </c>
      <c r="E330" s="18">
        <f>C330*D330</f>
        <v>4830</v>
      </c>
      <c r="F330" s="20"/>
      <c r="I330" s="85"/>
      <c r="J330" s="85"/>
    </row>
    <row r="331" spans="1:10">
      <c r="A331" s="314" t="s">
        <v>343</v>
      </c>
      <c r="B331" s="17" t="s">
        <v>2</v>
      </c>
      <c r="C331" s="86">
        <v>6.43</v>
      </c>
      <c r="D331" s="18"/>
      <c r="E331" s="18"/>
      <c r="F331" s="20"/>
      <c r="G331" s="311" t="s">
        <v>309</v>
      </c>
      <c r="I331" s="85"/>
      <c r="J331" s="85"/>
    </row>
    <row r="332" spans="1:10">
      <c r="A332" s="314" t="s">
        <v>344</v>
      </c>
      <c r="B332" s="17" t="s">
        <v>35</v>
      </c>
      <c r="C332" s="150">
        <f>IFERROR(IF(C321&lt;=C320,E319-(C322/(100*C320)*C321)*E319,E319-E322),0)</f>
        <v>4830</v>
      </c>
      <c r="D332" s="18"/>
      <c r="E332" s="18"/>
      <c r="F332" s="20"/>
      <c r="I332" s="85"/>
      <c r="J332" s="85"/>
    </row>
    <row r="333" spans="1:10">
      <c r="A333" s="314" t="s">
        <v>328</v>
      </c>
      <c r="B333" s="17" t="s">
        <v>35</v>
      </c>
      <c r="C333" s="83">
        <f>IFERROR(IF(C321&gt;=C320,C332,((((C332)-(E319-E322))*(((C320-C321)+1)/(2*(C320-C321))))+(E319-E322))),0)</f>
        <v>3754.2624000000001</v>
      </c>
      <c r="D333" s="18"/>
      <c r="E333" s="18"/>
      <c r="F333" s="20"/>
      <c r="I333" s="85"/>
      <c r="J333" s="85"/>
    </row>
    <row r="334" spans="1:10" ht="13.5" thickBot="1">
      <c r="A334" s="287" t="s">
        <v>329</v>
      </c>
      <c r="B334" s="288" t="s">
        <v>35</v>
      </c>
      <c r="C334" s="288"/>
      <c r="D334" s="290">
        <f>C331*C333/12/100</f>
        <v>20.116589359999999</v>
      </c>
      <c r="E334" s="289">
        <f>D334</f>
        <v>20.116589359999999</v>
      </c>
      <c r="F334" s="20"/>
      <c r="I334" s="85"/>
      <c r="J334" s="85"/>
    </row>
    <row r="335" spans="1:10" ht="13.5" thickTop="1">
      <c r="A335" s="117" t="s">
        <v>279</v>
      </c>
      <c r="B335" s="118"/>
      <c r="C335" s="118"/>
      <c r="D335" s="119"/>
      <c r="E335" s="120">
        <f>E334</f>
        <v>20.116589359999999</v>
      </c>
      <c r="F335" s="20"/>
      <c r="I335" s="85"/>
      <c r="J335" s="85"/>
    </row>
    <row r="336" spans="1:10" ht="13.5" thickBot="1">
      <c r="A336" s="103" t="s">
        <v>280</v>
      </c>
      <c r="B336" s="104" t="s">
        <v>10</v>
      </c>
      <c r="C336" s="282">
        <f>C325</f>
        <v>80</v>
      </c>
      <c r="D336" s="105">
        <f>E335</f>
        <v>20.116589359999999</v>
      </c>
      <c r="E336" s="120">
        <f>C336*D336</f>
        <v>1609.3271488</v>
      </c>
      <c r="F336" s="20"/>
      <c r="I336" s="85"/>
      <c r="J336" s="85"/>
    </row>
    <row r="337" spans="1:10" ht="13.5" thickBot="1">
      <c r="C337" s="19"/>
      <c r="D337" s="124" t="s">
        <v>205</v>
      </c>
      <c r="E337" s="50">
        <v>1</v>
      </c>
      <c r="F337" s="21">
        <f>E336*E337</f>
        <v>1609.3271488</v>
      </c>
      <c r="I337" s="85"/>
      <c r="J337" s="85"/>
    </row>
    <row r="338" spans="1:10" ht="11.25" customHeight="1">
      <c r="I338" s="85"/>
      <c r="J338" s="85"/>
    </row>
    <row r="339" spans="1:10" ht="13.5" thickBot="1">
      <c r="A339" s="7" t="s">
        <v>332</v>
      </c>
      <c r="I339" s="85"/>
      <c r="J339" s="85"/>
    </row>
    <row r="340" spans="1:10" ht="13.5" thickBot="1">
      <c r="A340" s="60" t="s">
        <v>64</v>
      </c>
      <c r="B340" s="61" t="s">
        <v>65</v>
      </c>
      <c r="C340" s="61" t="s">
        <v>42</v>
      </c>
      <c r="D340" s="62" t="s">
        <v>254</v>
      </c>
      <c r="E340" s="62" t="s">
        <v>66</v>
      </c>
      <c r="F340" s="63" t="s">
        <v>67</v>
      </c>
      <c r="I340" s="85"/>
      <c r="J340" s="85"/>
    </row>
    <row r="341" spans="1:10" ht="13.5" thickBot="1">
      <c r="A341" s="312" t="s">
        <v>333</v>
      </c>
      <c r="B341" s="315" t="s">
        <v>65</v>
      </c>
      <c r="C341" s="94">
        <v>80</v>
      </c>
      <c r="D341" s="87">
        <v>20</v>
      </c>
      <c r="E341" s="15">
        <f>C341*D341</f>
        <v>1600</v>
      </c>
      <c r="I341" s="85"/>
      <c r="J341" s="85"/>
    </row>
    <row r="342" spans="1:10" ht="13.5" thickBot="1">
      <c r="F342" s="21">
        <f>E341</f>
        <v>1600</v>
      </c>
      <c r="I342" s="85"/>
      <c r="J342" s="85"/>
    </row>
    <row r="343" spans="1:10" ht="11.25" customHeight="1">
      <c r="I343" s="85"/>
      <c r="J343" s="85"/>
    </row>
    <row r="344" spans="1:10" ht="11.25" customHeight="1">
      <c r="I344" s="85"/>
      <c r="J344" s="85"/>
    </row>
    <row r="345" spans="1:10" ht="11.25" customHeight="1" thickBot="1">
      <c r="G345" s="9"/>
    </row>
    <row r="346" spans="1:10" ht="13.5" thickBot="1">
      <c r="A346" s="24" t="s">
        <v>242</v>
      </c>
      <c r="B346" s="25"/>
      <c r="C346" s="25"/>
      <c r="D346" s="26"/>
      <c r="E346" s="27"/>
      <c r="F346" s="21">
        <f>+SUM(F182:F345)</f>
        <v>23957.39348853831</v>
      </c>
      <c r="G346" s="9"/>
    </row>
    <row r="347" spans="1:10" ht="11.25" customHeight="1">
      <c r="G347" s="9"/>
    </row>
    <row r="348" spans="1:10">
      <c r="A348" s="34" t="s">
        <v>334</v>
      </c>
      <c r="B348" s="34"/>
      <c r="C348" s="34"/>
      <c r="D348" s="35"/>
      <c r="E348" s="35"/>
      <c r="F348" s="33"/>
      <c r="G348" s="9"/>
    </row>
    <row r="349" spans="1:10" ht="11.25" customHeight="1" thickBot="1">
      <c r="G349" s="9"/>
    </row>
    <row r="350" spans="1:10" ht="13.5" thickBot="1">
      <c r="A350" s="60" t="s">
        <v>64</v>
      </c>
      <c r="B350" s="61" t="s">
        <v>65</v>
      </c>
      <c r="C350" s="61" t="s">
        <v>42</v>
      </c>
      <c r="D350" s="62" t="s">
        <v>254</v>
      </c>
      <c r="E350" s="62" t="s">
        <v>66</v>
      </c>
      <c r="F350" s="63" t="s">
        <v>67</v>
      </c>
      <c r="G350" s="9"/>
    </row>
    <row r="351" spans="1:10">
      <c r="A351" s="16" t="s">
        <v>73</v>
      </c>
      <c r="B351" s="17" t="s">
        <v>10</v>
      </c>
      <c r="C351" s="101">
        <v>0.16666666666666666</v>
      </c>
      <c r="D351" s="87">
        <v>42</v>
      </c>
      <c r="E351" s="18">
        <f>C351*D351</f>
        <v>7</v>
      </c>
      <c r="F351" s="55"/>
      <c r="G351" s="9"/>
    </row>
    <row r="352" spans="1:10">
      <c r="A352" s="16" t="s">
        <v>28</v>
      </c>
      <c r="B352" s="17" t="s">
        <v>10</v>
      </c>
      <c r="C352" s="101">
        <v>0.16666666666666666</v>
      </c>
      <c r="D352" s="87">
        <v>42</v>
      </c>
      <c r="E352" s="18">
        <f>C352*D352</f>
        <v>7</v>
      </c>
      <c r="F352" s="55"/>
      <c r="G352" s="9"/>
    </row>
    <row r="353" spans="1:7">
      <c r="A353" s="16" t="s">
        <v>29</v>
      </c>
      <c r="B353" s="17" t="s">
        <v>10</v>
      </c>
      <c r="C353" s="101">
        <v>1</v>
      </c>
      <c r="D353" s="87">
        <v>15</v>
      </c>
      <c r="E353" s="18">
        <f>C353*D353</f>
        <v>15</v>
      </c>
      <c r="F353" s="55"/>
      <c r="G353" s="9"/>
    </row>
    <row r="354" spans="1:7">
      <c r="A354" s="16" t="s">
        <v>58</v>
      </c>
      <c r="B354" s="17" t="s">
        <v>59</v>
      </c>
      <c r="C354" s="101">
        <v>0.16666666666666666</v>
      </c>
      <c r="D354" s="87">
        <v>18</v>
      </c>
      <c r="E354" s="18">
        <f>C354*D354</f>
        <v>3</v>
      </c>
      <c r="F354" s="55"/>
      <c r="G354" s="9"/>
    </row>
    <row r="355" spans="1:7" ht="13.5" thickBot="1">
      <c r="A355" s="16" t="s">
        <v>61</v>
      </c>
      <c r="B355" s="17" t="s">
        <v>59</v>
      </c>
      <c r="C355" s="101">
        <v>0.16666666666666666</v>
      </c>
      <c r="D355" s="87">
        <v>250</v>
      </c>
      <c r="E355" s="18">
        <f>C355*D355</f>
        <v>41.666666666666664</v>
      </c>
      <c r="F355" s="55"/>
      <c r="G355" s="9"/>
    </row>
    <row r="356" spans="1:7" ht="13.5" thickBot="1">
      <c r="A356" s="34"/>
      <c r="B356" s="34"/>
      <c r="C356" s="34"/>
      <c r="D356" s="34"/>
      <c r="E356" s="35"/>
      <c r="F356" s="21">
        <f>SUM(E351:E355)</f>
        <v>73.666666666666657</v>
      </c>
      <c r="G356" s="9"/>
    </row>
    <row r="357" spans="1:7" ht="11.25" customHeight="1" thickBot="1">
      <c r="G357" s="9"/>
    </row>
    <row r="358" spans="1:7" ht="13.5" thickBot="1">
      <c r="A358" s="24" t="s">
        <v>243</v>
      </c>
      <c r="B358" s="25"/>
      <c r="C358" s="25"/>
      <c r="D358" s="26"/>
      <c r="E358" s="27"/>
      <c r="F358" s="21">
        <f>+F356</f>
        <v>73.666666666666657</v>
      </c>
      <c r="G358" s="9"/>
    </row>
    <row r="359" spans="1:7" ht="11.25" customHeight="1">
      <c r="G359" s="9"/>
    </row>
    <row r="360" spans="1:7">
      <c r="A360" s="34" t="s">
        <v>335</v>
      </c>
      <c r="B360" s="34"/>
      <c r="C360" s="34"/>
      <c r="D360" s="35"/>
      <c r="E360" s="35"/>
      <c r="F360" s="33"/>
    </row>
    <row r="361" spans="1:7" ht="11.25" customHeight="1" thickBot="1"/>
    <row r="362" spans="1:7" ht="13.5" thickBot="1">
      <c r="A362" s="60" t="s">
        <v>64</v>
      </c>
      <c r="B362" s="61" t="s">
        <v>65</v>
      </c>
      <c r="C362" s="61" t="s">
        <v>42</v>
      </c>
      <c r="D362" s="62" t="s">
        <v>254</v>
      </c>
      <c r="E362" s="62" t="s">
        <v>66</v>
      </c>
      <c r="F362" s="63" t="s">
        <v>67</v>
      </c>
    </row>
    <row r="363" spans="1:7">
      <c r="A363" s="16" t="s">
        <v>240</v>
      </c>
      <c r="B363" s="53" t="s">
        <v>59</v>
      </c>
      <c r="C363" s="69">
        <v>2</v>
      </c>
      <c r="D363" s="89">
        <v>110</v>
      </c>
      <c r="E363" s="18">
        <f>+D363*C363</f>
        <v>220</v>
      </c>
      <c r="F363" s="55"/>
    </row>
    <row r="364" spans="1:7">
      <c r="A364" s="16" t="s">
        <v>62</v>
      </c>
      <c r="B364" s="53" t="s">
        <v>8</v>
      </c>
      <c r="C364" s="156">
        <v>60</v>
      </c>
      <c r="D364" s="80">
        <f>SUM(E363:E363)</f>
        <v>220</v>
      </c>
      <c r="E364" s="80">
        <f>+D364/C364</f>
        <v>3.6666666666666665</v>
      </c>
      <c r="F364" s="55"/>
    </row>
    <row r="365" spans="1:7">
      <c r="A365" s="16" t="s">
        <v>241</v>
      </c>
      <c r="B365" s="17" t="s">
        <v>10</v>
      </c>
      <c r="C365" s="69">
        <f>+C363</f>
        <v>2</v>
      </c>
      <c r="D365" s="89">
        <v>480</v>
      </c>
      <c r="E365" s="18">
        <f>C365*D365</f>
        <v>960</v>
      </c>
      <c r="F365" s="55"/>
    </row>
    <row r="366" spans="1:7" ht="13.5" thickBot="1">
      <c r="A366" s="16" t="s">
        <v>39</v>
      </c>
      <c r="B366" s="53" t="s">
        <v>8</v>
      </c>
      <c r="C366" s="156">
        <v>1</v>
      </c>
      <c r="D366" s="80">
        <f>+E365</f>
        <v>960</v>
      </c>
      <c r="E366" s="80">
        <f>+D366/C366</f>
        <v>960</v>
      </c>
      <c r="F366" s="55"/>
    </row>
    <row r="367" spans="1:7" ht="13.5" thickBot="1">
      <c r="A367" s="81"/>
      <c r="B367" s="81"/>
      <c r="C367" s="81"/>
      <c r="D367" s="124" t="s">
        <v>205</v>
      </c>
      <c r="E367" s="50">
        <f>$B$48</f>
        <v>0.66659999999999997</v>
      </c>
      <c r="F367" s="82">
        <f>(E364+E366)*E367</f>
        <v>642.38019999999995</v>
      </c>
    </row>
    <row r="368" spans="1:7" s="51" customFormat="1" ht="11.25" customHeight="1" thickBot="1">
      <c r="A368" s="9"/>
      <c r="B368" s="9"/>
      <c r="C368" s="9"/>
      <c r="D368" s="10"/>
      <c r="E368" s="10"/>
      <c r="F368" s="10"/>
      <c r="G368" s="84"/>
    </row>
    <row r="369" spans="1:6" ht="13.5" thickBot="1">
      <c r="A369" s="24" t="s">
        <v>239</v>
      </c>
      <c r="B369" s="25"/>
      <c r="C369" s="25"/>
      <c r="D369" s="26"/>
      <c r="E369" s="27"/>
      <c r="F369" s="21">
        <f>+F367</f>
        <v>642.38019999999995</v>
      </c>
    </row>
    <row r="370" spans="1:6" ht="11.25" customHeight="1" thickBot="1"/>
    <row r="371" spans="1:6" ht="17.25" customHeight="1" thickBot="1">
      <c r="A371" s="24" t="s">
        <v>244</v>
      </c>
      <c r="B371" s="28"/>
      <c r="C371" s="28"/>
      <c r="D371" s="29"/>
      <c r="E371" s="30"/>
      <c r="F371" s="22">
        <f>+F140+F174+F346+F358+F369</f>
        <v>32266.867791871817</v>
      </c>
    </row>
    <row r="372" spans="1:6" ht="11.25" customHeight="1"/>
    <row r="373" spans="1:6">
      <c r="A373" s="11" t="s">
        <v>336</v>
      </c>
    </row>
    <row r="374" spans="1:6" ht="11.25" customHeight="1" thickBot="1"/>
    <row r="375" spans="1:6" ht="13.5" thickBot="1">
      <c r="A375" s="60" t="s">
        <v>64</v>
      </c>
      <c r="B375" s="61" t="s">
        <v>65</v>
      </c>
      <c r="C375" s="61" t="s">
        <v>42</v>
      </c>
      <c r="D375" s="62" t="s">
        <v>254</v>
      </c>
      <c r="E375" s="62" t="s">
        <v>66</v>
      </c>
      <c r="F375" s="63" t="s">
        <v>67</v>
      </c>
    </row>
    <row r="376" spans="1:6" ht="13.5" thickBot="1">
      <c r="A376" s="13" t="s">
        <v>38</v>
      </c>
      <c r="B376" s="14" t="s">
        <v>2</v>
      </c>
      <c r="C376" s="142">
        <f>'4.BDI'!C18*100</f>
        <v>21.4</v>
      </c>
      <c r="D376" s="15">
        <f>+F371</f>
        <v>32266.867791871817</v>
      </c>
      <c r="E376" s="15">
        <f>C376*D376/100</f>
        <v>6905.1097074605686</v>
      </c>
    </row>
    <row r="377" spans="1:6" ht="13.5" thickBot="1">
      <c r="F377" s="21">
        <f>+E376</f>
        <v>6905.1097074605686</v>
      </c>
    </row>
    <row r="378" spans="1:6" ht="11.25" customHeight="1" thickBot="1"/>
    <row r="379" spans="1:6" ht="13.5" thickBot="1">
      <c r="A379" s="24" t="s">
        <v>259</v>
      </c>
      <c r="B379" s="28"/>
      <c r="C379" s="28"/>
      <c r="D379" s="29"/>
      <c r="E379" s="30"/>
      <c r="F379" s="22">
        <f>F377</f>
        <v>6905.1097074605686</v>
      </c>
    </row>
    <row r="380" spans="1:6">
      <c r="A380" s="34"/>
      <c r="B380" s="34"/>
      <c r="C380" s="34"/>
      <c r="D380" s="35"/>
      <c r="E380" s="35"/>
      <c r="F380" s="33"/>
    </row>
    <row r="381" spans="1:6" ht="11.25" customHeight="1" thickBot="1"/>
    <row r="382" spans="1:6" ht="24.75" customHeight="1" thickBot="1">
      <c r="A382" s="24" t="s">
        <v>245</v>
      </c>
      <c r="B382" s="28"/>
      <c r="C382" s="28"/>
      <c r="D382" s="29" t="s">
        <v>141</v>
      </c>
      <c r="E382" s="30"/>
      <c r="F382" s="22">
        <f>F371+F379</f>
        <v>39171.977499332388</v>
      </c>
    </row>
    <row r="383" spans="1:6" ht="12.6" customHeight="1">
      <c r="A383" s="56"/>
      <c r="B383" s="56"/>
      <c r="C383" s="56"/>
      <c r="D383" s="57"/>
      <c r="E383" s="57"/>
      <c r="F383" s="57"/>
    </row>
    <row r="384" spans="1:6" ht="14.25">
      <c r="A384" s="8"/>
      <c r="B384" s="8"/>
      <c r="C384" s="8"/>
      <c r="D384" s="36"/>
      <c r="E384" s="36"/>
    </row>
    <row r="385" spans="1:7" ht="16.149999999999999" customHeight="1">
      <c r="A385" s="256" t="s">
        <v>238</v>
      </c>
      <c r="B385" s="257"/>
      <c r="C385" s="257"/>
      <c r="D385" s="258">
        <v>50</v>
      </c>
      <c r="E385" s="259" t="s">
        <v>27</v>
      </c>
      <c r="G385" s="10" t="s">
        <v>215</v>
      </c>
    </row>
    <row r="386" spans="1:7" ht="13.5" thickBot="1"/>
    <row r="387" spans="1:7" ht="25.5" customHeight="1" thickBot="1">
      <c r="A387" s="24" t="s">
        <v>71</v>
      </c>
      <c r="B387" s="25"/>
      <c r="C387" s="25"/>
      <c r="D387" s="26"/>
      <c r="E387" s="260" t="s">
        <v>34</v>
      </c>
      <c r="F387" s="261">
        <f>IFERROR(F382/D385,"-")</f>
        <v>783.43954998664776</v>
      </c>
      <c r="G387" s="10" t="s">
        <v>215</v>
      </c>
    </row>
    <row r="388" spans="1:7" ht="12.6" customHeight="1">
      <c r="A388" s="34"/>
      <c r="B388" s="34"/>
      <c r="C388" s="34"/>
      <c r="D388" s="35"/>
      <c r="E388" s="35"/>
      <c r="F388" s="35"/>
    </row>
    <row r="389" spans="1:7" s="4" customFormat="1" ht="9.75" customHeight="1">
      <c r="A389" s="39"/>
      <c r="B389" s="10"/>
      <c r="C389" s="10"/>
      <c r="D389" s="10"/>
      <c r="E389" s="10"/>
      <c r="F389" s="10"/>
      <c r="G389" s="6"/>
    </row>
    <row r="390" spans="1:7" s="4" customFormat="1" ht="9.75" customHeight="1">
      <c r="A390" s="39"/>
      <c r="B390" s="10"/>
      <c r="C390" s="10"/>
      <c r="D390" s="10"/>
      <c r="E390" s="10"/>
      <c r="F390" s="10"/>
      <c r="G390" s="6"/>
    </row>
    <row r="391" spans="1:7" s="4" customFormat="1" ht="9.75" customHeight="1">
      <c r="A391" s="39"/>
      <c r="B391" s="10"/>
      <c r="C391" s="10"/>
      <c r="D391" s="10"/>
      <c r="E391" s="10"/>
      <c r="F391" s="10"/>
      <c r="G391" s="6"/>
    </row>
    <row r="421" spans="4:7" ht="9" customHeight="1">
      <c r="D421" s="9"/>
      <c r="E421" s="9"/>
      <c r="F421" s="9"/>
      <c r="G421" s="9"/>
    </row>
  </sheetData>
  <mergeCells count="7">
    <mergeCell ref="A44:D44"/>
    <mergeCell ref="A21:C21"/>
    <mergeCell ref="A8:F8"/>
    <mergeCell ref="A9:F9"/>
    <mergeCell ref="A37:D37"/>
    <mergeCell ref="A11:F11"/>
    <mergeCell ref="A36:E36"/>
  </mergeCells>
  <phoneticPr fontId="9" type="noConversion"/>
  <hyperlinks>
    <hyperlink ref="A196" location="AbaRemun" display="3.1.2. Remuneração do Capital"/>
    <hyperlink ref="A180" location="AbaDeprec" display="3.1.1. Depreciação"/>
    <hyperlink ref="A255" location="AbaRemun" display="3.1.2. Remuneração do Capital"/>
    <hyperlink ref="A239" location="AbaDeprec" display="3.1.1. Depreciação"/>
    <hyperlink ref="A328" location="AbaRemun" display="3.1.2. Remuneração do Capital"/>
    <hyperlink ref="A317" location="AbaDeprec" display="3.1.1. Depreciação"/>
  </hyperlinks>
  <pageMargins left="0.31496062992125984" right="0.31496062992125984" top="0.74803149606299213" bottom="0.74803149606299213" header="0.31496062992125984" footer="0.31496062992125984"/>
  <pageSetup paperSize="9" scale="85" fitToHeight="0" orientation="portrait" r:id="rId1"/>
  <headerFooter scaleWithDoc="0" alignWithMargins="0">
    <oddFooter>&amp;R&amp;P de &amp;N</oddFooter>
  </headerFooter>
  <rowBreaks count="5" manualBreakCount="5">
    <brk id="49" max="16383" man="1"/>
    <brk id="98" max="5" man="1"/>
    <brk id="119" max="16383" man="1"/>
    <brk id="175" max="16383" man="1"/>
    <brk id="296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5"/>
  <sheetViews>
    <sheetView topLeftCell="A10" workbookViewId="0">
      <selection activeCell="D8" sqref="D8"/>
    </sheetView>
  </sheetViews>
  <sheetFormatPr defaultRowHeight="12.75"/>
  <cols>
    <col min="1" max="1" width="13.5703125" style="1" customWidth="1"/>
    <col min="2" max="2" width="36.7109375" style="1" bestFit="1" customWidth="1"/>
    <col min="3" max="3" width="14.5703125" style="1" customWidth="1"/>
    <col min="4" max="4" width="37.28515625" style="159" customWidth="1"/>
    <col min="5" max="10" width="9.140625" style="1"/>
    <col min="11" max="11" width="11" style="1" bestFit="1" customWidth="1"/>
    <col min="12" max="16384" width="9.140625" style="1"/>
  </cols>
  <sheetData>
    <row r="1" spans="1:12">
      <c r="A1" s="11" t="s">
        <v>213</v>
      </c>
    </row>
    <row r="2" spans="1:12">
      <c r="A2" s="141" t="s">
        <v>266</v>
      </c>
    </row>
    <row r="3" spans="1:12" ht="13.5" thickBot="1"/>
    <row r="4" spans="1:12" ht="18">
      <c r="A4" s="332" t="s">
        <v>248</v>
      </c>
      <c r="B4" s="333"/>
      <c r="C4" s="334"/>
      <c r="D4" s="151"/>
      <c r="E4" s="151"/>
      <c r="F4" s="151"/>
    </row>
    <row r="5" spans="1:12" ht="14.25">
      <c r="A5" s="172" t="s">
        <v>150</v>
      </c>
      <c r="B5" s="173" t="s">
        <v>151</v>
      </c>
      <c r="C5" s="174" t="s">
        <v>152</v>
      </c>
      <c r="D5" s="175"/>
    </row>
    <row r="6" spans="1:12" ht="14.25">
      <c r="A6" s="172" t="s">
        <v>153</v>
      </c>
      <c r="B6" s="173" t="s">
        <v>43</v>
      </c>
      <c r="C6" s="176">
        <v>0.2</v>
      </c>
      <c r="D6" s="175"/>
      <c r="F6" s="159"/>
      <c r="G6" s="159"/>
      <c r="H6" s="159"/>
      <c r="I6" s="159"/>
      <c r="J6" s="159"/>
      <c r="K6" s="159"/>
      <c r="L6" s="159"/>
    </row>
    <row r="7" spans="1:12" ht="14.25">
      <c r="A7" s="172" t="s">
        <v>154</v>
      </c>
      <c r="B7" s="173" t="s">
        <v>155</v>
      </c>
      <c r="C7" s="176">
        <v>1.4999999999999999E-2</v>
      </c>
      <c r="D7" s="175"/>
      <c r="F7" s="159"/>
      <c r="G7" s="159"/>
      <c r="H7" s="159"/>
      <c r="I7" s="159"/>
      <c r="J7" s="159"/>
      <c r="K7" s="159"/>
      <c r="L7" s="159"/>
    </row>
    <row r="8" spans="1:12" ht="14.25">
      <c r="A8" s="172" t="s">
        <v>156</v>
      </c>
      <c r="B8" s="173" t="s">
        <v>157</v>
      </c>
      <c r="C8" s="176">
        <v>0.01</v>
      </c>
      <c r="D8" s="175"/>
      <c r="F8" s="159"/>
      <c r="G8" s="159"/>
      <c r="H8" s="159"/>
      <c r="I8" s="159"/>
      <c r="J8" s="159"/>
      <c r="K8" s="159"/>
      <c r="L8" s="159"/>
    </row>
    <row r="9" spans="1:12" ht="14.25">
      <c r="A9" s="172" t="s">
        <v>158</v>
      </c>
      <c r="B9" s="173" t="s">
        <v>159</v>
      </c>
      <c r="C9" s="176">
        <v>2E-3</v>
      </c>
      <c r="D9" s="175"/>
      <c r="F9" s="159"/>
      <c r="G9" s="159"/>
      <c r="H9" s="159"/>
      <c r="I9" s="159"/>
      <c r="J9" s="159"/>
      <c r="K9" s="159"/>
      <c r="L9" s="159"/>
    </row>
    <row r="10" spans="1:12" ht="14.25">
      <c r="A10" s="172" t="s">
        <v>160</v>
      </c>
      <c r="B10" s="173" t="s">
        <v>161</v>
      </c>
      <c r="C10" s="176">
        <v>6.0000000000000001E-3</v>
      </c>
      <c r="D10" s="175"/>
      <c r="F10" s="159"/>
      <c r="G10" s="159"/>
      <c r="H10" s="159"/>
      <c r="I10" s="159"/>
      <c r="J10" s="159"/>
      <c r="K10" s="159"/>
      <c r="L10" s="159"/>
    </row>
    <row r="11" spans="1:12" ht="14.25">
      <c r="A11" s="172" t="s">
        <v>162</v>
      </c>
      <c r="B11" s="173" t="s">
        <v>163</v>
      </c>
      <c r="C11" s="176">
        <v>2.5000000000000001E-2</v>
      </c>
      <c r="D11" s="175"/>
      <c r="F11" s="159"/>
      <c r="G11" s="159"/>
      <c r="H11" s="159"/>
      <c r="I11" s="159"/>
      <c r="J11" s="159"/>
      <c r="K11" s="159"/>
      <c r="L11" s="159"/>
    </row>
    <row r="12" spans="1:12" ht="14.25">
      <c r="A12" s="172" t="s">
        <v>164</v>
      </c>
      <c r="B12" s="173" t="s">
        <v>165</v>
      </c>
      <c r="C12" s="176">
        <v>0.03</v>
      </c>
      <c r="D12" s="175"/>
      <c r="F12" s="159"/>
      <c r="G12" s="159"/>
      <c r="H12" s="159"/>
      <c r="I12" s="159"/>
      <c r="J12" s="159"/>
      <c r="K12" s="159"/>
      <c r="L12" s="159"/>
    </row>
    <row r="13" spans="1:12" ht="14.25">
      <c r="A13" s="172" t="s">
        <v>166</v>
      </c>
      <c r="B13" s="173" t="s">
        <v>44</v>
      </c>
      <c r="C13" s="176">
        <v>0.08</v>
      </c>
      <c r="D13" s="177"/>
      <c r="F13" s="159"/>
      <c r="G13" s="159"/>
      <c r="H13" s="159"/>
      <c r="I13" s="159"/>
      <c r="J13" s="159"/>
      <c r="K13" s="159"/>
      <c r="L13" s="159"/>
    </row>
    <row r="14" spans="1:12" ht="15">
      <c r="A14" s="172" t="s">
        <v>167</v>
      </c>
      <c r="B14" s="178" t="s">
        <v>168</v>
      </c>
      <c r="C14" s="179">
        <f>SUM(C6:C13)</f>
        <v>0.36800000000000005</v>
      </c>
      <c r="D14" s="177"/>
      <c r="F14" s="159"/>
      <c r="G14" s="159"/>
      <c r="H14" s="159"/>
      <c r="I14" s="159"/>
      <c r="J14" s="159"/>
      <c r="K14" s="159"/>
      <c r="L14" s="159"/>
    </row>
    <row r="15" spans="1:12" ht="15">
      <c r="A15" s="180"/>
      <c r="B15" s="181"/>
      <c r="C15" s="182"/>
      <c r="D15" s="177"/>
      <c r="F15" s="159"/>
      <c r="G15" s="159"/>
      <c r="H15" s="159"/>
      <c r="I15" s="159"/>
      <c r="J15" s="159"/>
      <c r="K15" s="159"/>
      <c r="L15" s="159"/>
    </row>
    <row r="16" spans="1:12" ht="14.25">
      <c r="A16" s="172" t="s">
        <v>169</v>
      </c>
      <c r="B16" s="183" t="s">
        <v>170</v>
      </c>
      <c r="C16" s="176">
        <f>ROUND(IF('3.CAGED'!C39&gt;24,(1-12/'3.CAGED'!C39)*0.1111,0.1111-C25),4)</f>
        <v>6.25E-2</v>
      </c>
      <c r="D16" s="177"/>
      <c r="F16" s="159"/>
      <c r="G16" s="159"/>
      <c r="H16" s="159"/>
      <c r="I16" s="159"/>
      <c r="J16" s="159"/>
      <c r="K16" s="159"/>
      <c r="L16" s="159"/>
    </row>
    <row r="17" spans="1:12" ht="14.25">
      <c r="A17" s="172" t="s">
        <v>171</v>
      </c>
      <c r="B17" s="183" t="s">
        <v>172</v>
      </c>
      <c r="C17" s="176">
        <f>ROUND('3.CAGED'!C33/'3.CAGED'!C30,4)</f>
        <v>8.3299999999999999E-2</v>
      </c>
      <c r="D17" s="177"/>
      <c r="F17" s="159"/>
      <c r="G17" s="159"/>
      <c r="H17" s="159"/>
      <c r="I17" s="159"/>
      <c r="J17" s="159"/>
      <c r="K17" s="159"/>
      <c r="L17" s="159"/>
    </row>
    <row r="18" spans="1:12" ht="14.25">
      <c r="A18" s="172" t="s">
        <v>237</v>
      </c>
      <c r="B18" s="183" t="s">
        <v>174</v>
      </c>
      <c r="C18" s="176">
        <v>5.9999999999999995E-4</v>
      </c>
      <c r="D18" s="177"/>
      <c r="F18" s="159"/>
      <c r="G18" s="159"/>
      <c r="H18" s="159"/>
      <c r="I18" s="159"/>
      <c r="J18" s="159"/>
      <c r="K18" s="159"/>
      <c r="L18" s="159"/>
    </row>
    <row r="19" spans="1:12" ht="14.25">
      <c r="A19" s="172" t="s">
        <v>173</v>
      </c>
      <c r="B19" s="183" t="s">
        <v>176</v>
      </c>
      <c r="C19" s="176">
        <v>8.2000000000000007E-3</v>
      </c>
      <c r="D19" s="177"/>
      <c r="F19" s="159"/>
      <c r="G19" s="159"/>
      <c r="H19" s="159"/>
      <c r="I19" s="159"/>
      <c r="J19" s="159"/>
      <c r="K19" s="159"/>
      <c r="L19" s="159"/>
    </row>
    <row r="20" spans="1:12" ht="14.25">
      <c r="A20" s="172" t="s">
        <v>175</v>
      </c>
      <c r="B20" s="183" t="s">
        <v>178</v>
      </c>
      <c r="C20" s="176">
        <v>3.0999999999999999E-3</v>
      </c>
      <c r="D20" s="177"/>
      <c r="F20" s="159"/>
      <c r="G20" s="159"/>
      <c r="H20" s="159"/>
      <c r="I20" s="159"/>
      <c r="J20" s="159"/>
      <c r="K20" s="159"/>
      <c r="L20" s="159"/>
    </row>
    <row r="21" spans="1:12" ht="14.25">
      <c r="A21" s="172" t="s">
        <v>177</v>
      </c>
      <c r="B21" s="183" t="s">
        <v>179</v>
      </c>
      <c r="C21" s="176">
        <v>1.66E-2</v>
      </c>
      <c r="D21" s="177"/>
      <c r="F21" s="159"/>
      <c r="G21" s="159"/>
      <c r="H21" s="159"/>
      <c r="I21" s="159"/>
      <c r="J21" s="159"/>
      <c r="K21" s="159"/>
      <c r="L21" s="159"/>
    </row>
    <row r="22" spans="1:12" ht="15">
      <c r="A22" s="172" t="s">
        <v>180</v>
      </c>
      <c r="B22" s="178" t="s">
        <v>181</v>
      </c>
      <c r="C22" s="179">
        <f>SUM(C16:C21)</f>
        <v>0.17429999999999998</v>
      </c>
      <c r="D22" s="184"/>
      <c r="F22" s="159"/>
      <c r="G22" s="159"/>
      <c r="H22" s="159"/>
      <c r="I22" s="159"/>
      <c r="J22" s="159"/>
      <c r="K22" s="159"/>
      <c r="L22" s="159"/>
    </row>
    <row r="23" spans="1:12" ht="15">
      <c r="A23" s="180"/>
      <c r="B23" s="181"/>
      <c r="C23" s="182"/>
      <c r="D23" s="184"/>
      <c r="F23" s="159"/>
      <c r="G23" s="159"/>
      <c r="H23" s="159"/>
      <c r="I23" s="159"/>
      <c r="J23" s="159"/>
      <c r="K23" s="159"/>
      <c r="L23" s="159"/>
    </row>
    <row r="24" spans="1:12" ht="14.25">
      <c r="A24" s="172" t="s">
        <v>182</v>
      </c>
      <c r="B24" s="173" t="s">
        <v>183</v>
      </c>
      <c r="C24" s="176">
        <f>ROUND(('3.CAGED'!C38) *'3.CAGED'!C29/'3.CAGED'!C30,4)</f>
        <v>3.6600000000000001E-2</v>
      </c>
      <c r="D24" s="177"/>
      <c r="E24" s="185"/>
      <c r="F24" s="159"/>
      <c r="G24" s="159"/>
      <c r="H24" s="159"/>
      <c r="I24" s="159"/>
      <c r="J24" s="159"/>
      <c r="K24" s="159"/>
      <c r="L24" s="159"/>
    </row>
    <row r="25" spans="1:12" ht="14.25">
      <c r="A25" s="172" t="s">
        <v>236</v>
      </c>
      <c r="B25" s="173" t="s">
        <v>185</v>
      </c>
      <c r="C25" s="176">
        <f>ROUND(IF('3.CAGED'!C39&gt;12,12/'3.CAGED'!C39*0.1111,0.1111),4)</f>
        <v>4.8599999999999997E-2</v>
      </c>
      <c r="D25" s="177"/>
      <c r="F25" s="159"/>
      <c r="G25" s="159"/>
      <c r="H25" s="186"/>
      <c r="I25" s="159"/>
      <c r="J25" s="159"/>
      <c r="K25" s="159"/>
      <c r="L25" s="159"/>
    </row>
    <row r="26" spans="1:12" ht="14.25">
      <c r="A26" s="172" t="s">
        <v>184</v>
      </c>
      <c r="B26" s="173" t="s">
        <v>187</v>
      </c>
      <c r="C26" s="176">
        <f>ROUND(('3.CAGED'!C32+'3.CAGED'!C31)/360*C24,4)</f>
        <v>4.1000000000000003E-3</v>
      </c>
      <c r="D26" s="177"/>
      <c r="F26" s="159"/>
      <c r="G26" s="159"/>
      <c r="H26" s="159"/>
      <c r="I26" s="159"/>
      <c r="J26" s="159"/>
      <c r="K26" s="159"/>
      <c r="L26" s="159"/>
    </row>
    <row r="27" spans="1:12" ht="14.25">
      <c r="A27" s="172" t="s">
        <v>186</v>
      </c>
      <c r="B27" s="173" t="s">
        <v>189</v>
      </c>
      <c r="C27" s="176">
        <f>ROUND(('3.CAGED'!C30+'3.CAGED'!C31+'3.CAGED'!C33)/'3.CAGED'!C28*'3.CAGED'!C35*'3.CAGED'!C36*'3.CAGED'!C29/'3.CAGED'!C30,4)</f>
        <v>3.7199999999999997E-2</v>
      </c>
      <c r="D27" s="177"/>
      <c r="F27" s="159"/>
      <c r="G27" s="187"/>
      <c r="H27" s="159"/>
      <c r="I27" s="159"/>
      <c r="J27" s="159"/>
      <c r="K27" s="159"/>
      <c r="L27" s="159"/>
    </row>
    <row r="28" spans="1:12" ht="14.25">
      <c r="A28" s="172" t="s">
        <v>188</v>
      </c>
      <c r="B28" s="173" t="s">
        <v>190</v>
      </c>
      <c r="C28" s="176">
        <f>ROUND(('3.CAGED'!C32/'3.CAGED'!C30)*'3.CAGED'!C29/12,4)</f>
        <v>2.5000000000000001E-3</v>
      </c>
      <c r="D28" s="177"/>
      <c r="F28" s="159"/>
      <c r="G28" s="159"/>
      <c r="H28" s="159"/>
      <c r="I28" s="159"/>
      <c r="J28" s="159"/>
      <c r="K28" s="159"/>
      <c r="L28" s="159"/>
    </row>
    <row r="29" spans="1:12" ht="15">
      <c r="A29" s="172" t="s">
        <v>191</v>
      </c>
      <c r="B29" s="178" t="s">
        <v>192</v>
      </c>
      <c r="C29" s="179">
        <f>SUM(C24:C28)</f>
        <v>0.129</v>
      </c>
      <c r="D29" s="184"/>
      <c r="F29" s="159"/>
      <c r="G29" s="159"/>
      <c r="H29" s="159"/>
      <c r="I29" s="159"/>
      <c r="J29" s="159"/>
      <c r="K29" s="159"/>
      <c r="L29" s="159"/>
    </row>
    <row r="30" spans="1:12" ht="15">
      <c r="A30" s="180"/>
      <c r="B30" s="181"/>
      <c r="C30" s="182"/>
      <c r="D30" s="184"/>
      <c r="F30" s="159"/>
      <c r="G30" s="159"/>
      <c r="H30" s="159"/>
      <c r="I30" s="159"/>
      <c r="J30" s="159"/>
      <c r="K30" s="159"/>
      <c r="L30" s="159"/>
    </row>
    <row r="31" spans="1:12" ht="14.25">
      <c r="A31" s="172" t="s">
        <v>193</v>
      </c>
      <c r="B31" s="173" t="s">
        <v>194</v>
      </c>
      <c r="C31" s="176">
        <f>ROUND(C14*C22,4)</f>
        <v>6.4100000000000004E-2</v>
      </c>
      <c r="D31" s="177"/>
      <c r="F31" s="159"/>
      <c r="G31" s="159"/>
      <c r="H31" s="159"/>
      <c r="I31" s="159"/>
      <c r="J31" s="159"/>
      <c r="K31" s="159"/>
      <c r="L31" s="159"/>
    </row>
    <row r="32" spans="1:12" ht="28.5">
      <c r="A32" s="172" t="s">
        <v>195</v>
      </c>
      <c r="B32" s="188" t="s">
        <v>196</v>
      </c>
      <c r="C32" s="176">
        <f>ROUND((C24*C14),4)</f>
        <v>1.35E-2</v>
      </c>
      <c r="D32" s="177"/>
      <c r="F32" s="159"/>
      <c r="G32" s="159"/>
      <c r="H32" s="159"/>
      <c r="I32" s="159"/>
      <c r="J32" s="159"/>
      <c r="K32" s="159"/>
      <c r="L32" s="159"/>
    </row>
    <row r="33" spans="1:12" ht="15">
      <c r="A33" s="172" t="s">
        <v>197</v>
      </c>
      <c r="B33" s="178" t="s">
        <v>198</v>
      </c>
      <c r="C33" s="179">
        <f>SUM(C31:C32)</f>
        <v>7.7600000000000002E-2</v>
      </c>
      <c r="D33" s="189"/>
      <c r="F33" s="159"/>
      <c r="G33" s="159"/>
      <c r="H33" s="159"/>
      <c r="I33" s="159"/>
      <c r="J33" s="159"/>
      <c r="K33" s="159"/>
      <c r="L33" s="159"/>
    </row>
    <row r="34" spans="1:12" ht="15.75" thickBot="1">
      <c r="A34" s="190"/>
      <c r="B34" s="191" t="s">
        <v>199</v>
      </c>
      <c r="C34" s="192">
        <f>C33+C29+C22+C14</f>
        <v>0.74890000000000012</v>
      </c>
      <c r="D34" s="189"/>
      <c r="F34" s="159"/>
      <c r="G34" s="159"/>
      <c r="H34" s="159"/>
      <c r="I34" s="159"/>
      <c r="J34" s="159"/>
      <c r="K34" s="159"/>
      <c r="L34" s="159"/>
    </row>
    <row r="35" spans="1:12" ht="15">
      <c r="A35" s="177"/>
      <c r="B35" s="193"/>
      <c r="C35" s="194"/>
      <c r="D35" s="195"/>
      <c r="F35" s="159"/>
      <c r="G35" s="159"/>
      <c r="H35" s="159"/>
      <c r="I35" s="159"/>
      <c r="J35" s="159"/>
      <c r="K35" s="159"/>
      <c r="L35" s="159"/>
    </row>
    <row r="36" spans="1:12" ht="14.25">
      <c r="A36" s="177"/>
      <c r="B36" s="177"/>
      <c r="C36" s="196"/>
      <c r="D36" s="197"/>
      <c r="F36" s="159"/>
      <c r="G36" s="159"/>
      <c r="H36" s="159"/>
      <c r="I36" s="159"/>
      <c r="J36" s="159"/>
      <c r="K36" s="159"/>
      <c r="L36" s="159"/>
    </row>
    <row r="37" spans="1:12" ht="14.25">
      <c r="A37" s="175"/>
      <c r="B37" s="175"/>
      <c r="C37" s="198"/>
      <c r="D37" s="175"/>
      <c r="F37" s="159"/>
      <c r="G37" s="159"/>
      <c r="H37" s="159"/>
      <c r="I37" s="159"/>
      <c r="J37" s="159"/>
      <c r="K37" s="159"/>
      <c r="L37" s="159"/>
    </row>
    <row r="38" spans="1:12" ht="14.25">
      <c r="A38" s="175"/>
      <c r="B38" s="175"/>
      <c r="C38" s="198"/>
      <c r="D38" s="175"/>
      <c r="F38" s="159"/>
      <c r="G38" s="159"/>
      <c r="H38" s="159"/>
      <c r="I38" s="159"/>
      <c r="J38" s="159"/>
      <c r="K38" s="159"/>
      <c r="L38" s="159"/>
    </row>
    <row r="39" spans="1:12" ht="14.25">
      <c r="A39" s="175"/>
      <c r="B39" s="175"/>
      <c r="C39" s="198"/>
      <c r="D39" s="175"/>
      <c r="F39" s="159"/>
      <c r="G39" s="159"/>
      <c r="H39" s="159"/>
      <c r="I39" s="159"/>
      <c r="J39" s="159"/>
      <c r="K39" s="159"/>
      <c r="L39" s="159"/>
    </row>
    <row r="40" spans="1:12" ht="15">
      <c r="A40" s="175"/>
      <c r="B40" s="199"/>
      <c r="C40" s="200"/>
      <c r="D40" s="175"/>
      <c r="F40" s="159"/>
      <c r="G40" s="159"/>
      <c r="H40" s="159"/>
      <c r="I40" s="159"/>
      <c r="J40" s="159"/>
      <c r="K40" s="159"/>
      <c r="L40" s="159"/>
    </row>
    <row r="41" spans="1:12" ht="15">
      <c r="A41" s="189"/>
      <c r="B41" s="199"/>
      <c r="C41" s="200"/>
      <c r="D41" s="189"/>
      <c r="E41" s="159"/>
      <c r="F41" s="159"/>
      <c r="G41" s="159"/>
      <c r="H41" s="159"/>
      <c r="I41" s="159"/>
      <c r="J41" s="159"/>
      <c r="K41" s="159"/>
      <c r="L41" s="159"/>
    </row>
    <row r="42" spans="1:12" ht="16.5">
      <c r="A42" s="201"/>
      <c r="B42" s="159"/>
      <c r="C42" s="159"/>
      <c r="E42" s="159"/>
      <c r="F42" s="159"/>
      <c r="G42" s="159"/>
      <c r="H42" s="159"/>
      <c r="I42" s="159"/>
      <c r="J42" s="159"/>
      <c r="K42" s="159"/>
      <c r="L42" s="159"/>
    </row>
    <row r="43" spans="1:12">
      <c r="A43" s="202"/>
      <c r="B43" s="203"/>
      <c r="C43" s="203"/>
      <c r="E43" s="159"/>
      <c r="F43" s="159"/>
      <c r="G43" s="159"/>
      <c r="H43" s="159"/>
      <c r="I43" s="159"/>
      <c r="J43" s="159"/>
      <c r="K43" s="159"/>
      <c r="L43" s="159"/>
    </row>
    <row r="44" spans="1:12" ht="14.25">
      <c r="A44" s="175"/>
      <c r="B44" s="204"/>
      <c r="C44" s="203"/>
      <c r="E44" s="159"/>
      <c r="F44" s="159"/>
      <c r="G44" s="159"/>
      <c r="H44" s="159"/>
      <c r="I44" s="159"/>
      <c r="J44" s="159"/>
      <c r="K44" s="159"/>
      <c r="L44" s="159"/>
    </row>
    <row r="45" spans="1:12" ht="14.25">
      <c r="A45" s="175"/>
      <c r="B45" s="204"/>
      <c r="C45" s="175"/>
      <c r="E45" s="159"/>
      <c r="F45" s="159"/>
      <c r="G45" s="159"/>
      <c r="H45" s="159"/>
      <c r="I45" s="159"/>
      <c r="J45" s="159"/>
      <c r="K45" s="159"/>
      <c r="L45" s="159"/>
    </row>
    <row r="46" spans="1:12" ht="14.25">
      <c r="A46" s="175"/>
      <c r="B46" s="198"/>
      <c r="C46" s="203"/>
      <c r="E46" s="159"/>
      <c r="F46" s="159"/>
      <c r="G46" s="159"/>
      <c r="H46" s="159"/>
      <c r="I46" s="159"/>
      <c r="J46" s="159"/>
      <c r="K46" s="159"/>
      <c r="L46" s="159"/>
    </row>
    <row r="47" spans="1:12" ht="14.25">
      <c r="A47" s="175"/>
      <c r="B47" s="204"/>
      <c r="C47" s="175"/>
      <c r="E47" s="159"/>
      <c r="F47" s="159"/>
      <c r="G47" s="159"/>
      <c r="H47" s="159"/>
      <c r="I47" s="159"/>
      <c r="J47" s="159"/>
      <c r="K47" s="159"/>
      <c r="L47" s="159"/>
    </row>
    <row r="48" spans="1:12" ht="14.25">
      <c r="A48" s="175"/>
      <c r="B48" s="198"/>
      <c r="C48" s="203"/>
      <c r="E48" s="159"/>
      <c r="F48" s="159"/>
      <c r="G48" s="159"/>
      <c r="H48" s="159"/>
      <c r="I48" s="159"/>
      <c r="J48" s="159"/>
      <c r="K48" s="159"/>
      <c r="L48" s="159"/>
    </row>
    <row r="49" spans="1:12" ht="14.25">
      <c r="A49" s="175"/>
      <c r="B49" s="204"/>
      <c r="C49" s="175"/>
      <c r="E49" s="159"/>
      <c r="F49" s="159"/>
      <c r="G49" s="159"/>
      <c r="H49" s="159"/>
      <c r="I49" s="159"/>
      <c r="J49" s="159"/>
      <c r="K49" s="159"/>
      <c r="L49" s="159"/>
    </row>
    <row r="50" spans="1:12" ht="14.25">
      <c r="A50" s="175"/>
      <c r="B50" s="198"/>
      <c r="C50" s="203"/>
      <c r="E50" s="159"/>
      <c r="F50" s="159"/>
      <c r="G50" s="159"/>
      <c r="H50" s="159"/>
      <c r="I50" s="159"/>
      <c r="J50" s="159"/>
      <c r="K50" s="159"/>
      <c r="L50" s="159"/>
    </row>
    <row r="51" spans="1:12" ht="14.25">
      <c r="A51" s="175"/>
      <c r="B51" s="204"/>
      <c r="C51" s="175"/>
      <c r="E51" s="159"/>
      <c r="F51" s="159"/>
      <c r="G51" s="159"/>
      <c r="H51" s="159"/>
      <c r="I51" s="159"/>
      <c r="J51" s="159"/>
      <c r="K51" s="159"/>
      <c r="L51" s="159"/>
    </row>
    <row r="52" spans="1:12" ht="14.25">
      <c r="A52" s="175"/>
      <c r="B52" s="198"/>
      <c r="C52" s="203"/>
      <c r="E52" s="159"/>
      <c r="F52" s="159"/>
      <c r="G52" s="159"/>
      <c r="H52" s="159"/>
      <c r="I52" s="159"/>
      <c r="J52" s="159"/>
      <c r="K52" s="159"/>
      <c r="L52" s="159"/>
    </row>
    <row r="53" spans="1:12" ht="16.5">
      <c r="A53" s="201"/>
      <c r="B53" s="159"/>
      <c r="C53" s="159"/>
      <c r="E53" s="159"/>
      <c r="F53" s="159"/>
      <c r="G53" s="159"/>
      <c r="H53" s="159"/>
      <c r="I53" s="159"/>
      <c r="J53" s="159"/>
      <c r="K53" s="159"/>
      <c r="L53" s="159"/>
    </row>
    <row r="54" spans="1:12">
      <c r="A54" s="159"/>
      <c r="B54" s="159"/>
      <c r="C54" s="159"/>
      <c r="E54" s="159"/>
      <c r="F54" s="159"/>
      <c r="G54" s="159"/>
      <c r="H54" s="159"/>
      <c r="I54" s="159"/>
      <c r="J54" s="159"/>
      <c r="K54" s="159"/>
      <c r="L54" s="159"/>
    </row>
    <row r="55" spans="1:12">
      <c r="A55" s="159"/>
      <c r="B55" s="159"/>
      <c r="C55" s="159"/>
      <c r="E55" s="159"/>
      <c r="F55" s="159"/>
      <c r="G55" s="159"/>
      <c r="H55" s="159"/>
      <c r="I55" s="159"/>
      <c r="J55" s="159"/>
      <c r="K55" s="159"/>
      <c r="L55" s="159"/>
    </row>
    <row r="56" spans="1:12">
      <c r="A56" s="205"/>
      <c r="B56" s="159"/>
      <c r="C56" s="159"/>
      <c r="E56" s="159"/>
      <c r="F56" s="159"/>
      <c r="G56" s="159"/>
      <c r="H56" s="159"/>
      <c r="I56" s="159"/>
      <c r="J56" s="159"/>
      <c r="K56" s="159"/>
      <c r="L56" s="159"/>
    </row>
    <row r="57" spans="1:12">
      <c r="A57" s="159"/>
      <c r="B57" s="159"/>
      <c r="C57" s="159"/>
      <c r="E57" s="159"/>
    </row>
    <row r="58" spans="1:12">
      <c r="A58" s="159"/>
      <c r="B58" s="159"/>
      <c r="C58" s="159"/>
      <c r="E58" s="159"/>
    </row>
    <row r="59" spans="1:12">
      <c r="A59" s="159"/>
      <c r="B59" s="159"/>
      <c r="C59" s="159"/>
      <c r="E59" s="159"/>
    </row>
    <row r="60" spans="1:12">
      <c r="A60" s="159"/>
      <c r="B60" s="159"/>
      <c r="C60" s="159"/>
      <c r="E60" s="159"/>
    </row>
    <row r="61" spans="1:12">
      <c r="A61" s="159"/>
      <c r="B61" s="159"/>
      <c r="C61" s="159"/>
      <c r="E61" s="159"/>
    </row>
    <row r="62" spans="1:12">
      <c r="A62" s="159"/>
      <c r="B62" s="159"/>
      <c r="C62" s="159"/>
      <c r="E62" s="159"/>
    </row>
    <row r="63" spans="1:12">
      <c r="A63" s="159"/>
      <c r="B63" s="159"/>
      <c r="C63" s="159"/>
      <c r="E63" s="159"/>
    </row>
    <row r="64" spans="1:12">
      <c r="A64" s="159"/>
      <c r="B64" s="159"/>
      <c r="C64" s="159"/>
      <c r="E64" s="159"/>
    </row>
    <row r="65" spans="1:5">
      <c r="A65" s="159"/>
      <c r="B65" s="159"/>
      <c r="C65" s="159"/>
      <c r="E65" s="159"/>
    </row>
  </sheetData>
  <mergeCells count="1">
    <mergeCell ref="A4:C4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activeCell="C13" sqref="C13"/>
    </sheetView>
  </sheetViews>
  <sheetFormatPr defaultRowHeight="12.75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hidden="1" customWidth="1"/>
    <col min="5" max="5" width="13.7109375" style="1" hidden="1" customWidth="1"/>
    <col min="6" max="6" width="14.42578125" style="1" hidden="1" customWidth="1"/>
    <col min="7" max="7" width="12.7109375" style="1" hidden="1" customWidth="1"/>
    <col min="8" max="8" width="4.42578125" style="1" hidden="1" customWidth="1"/>
    <col min="9" max="9" width="6.85546875" style="1" hidden="1" customWidth="1"/>
    <col min="10" max="10" width="3.28515625" style="1" hidden="1" customWidth="1"/>
    <col min="11" max="11" width="0" style="1" hidden="1" customWidth="1"/>
    <col min="12" max="16384" width="9.140625" style="1"/>
  </cols>
  <sheetData>
    <row r="1" spans="1:3">
      <c r="A1" s="108" t="s">
        <v>260</v>
      </c>
    </row>
    <row r="3" spans="1:3">
      <c r="A3" s="1" t="s">
        <v>221</v>
      </c>
    </row>
    <row r="4" spans="1:3">
      <c r="A4" s="283" t="s">
        <v>217</v>
      </c>
    </row>
    <row r="5" spans="1:3" ht="25.5" customHeight="1">
      <c r="A5" s="338" t="s">
        <v>275</v>
      </c>
      <c r="B5" s="337"/>
      <c r="C5" s="337"/>
    </row>
    <row r="6" spans="1:3">
      <c r="A6" s="1" t="s">
        <v>218</v>
      </c>
    </row>
    <row r="7" spans="1:3" ht="26.25" customHeight="1">
      <c r="A7" s="337" t="s">
        <v>219</v>
      </c>
      <c r="B7" s="337"/>
      <c r="C7" s="337"/>
    </row>
    <row r="8" spans="1:3">
      <c r="A8" s="1" t="s">
        <v>220</v>
      </c>
    </row>
    <row r="9" spans="1:3">
      <c r="A9" s="1" t="s">
        <v>261</v>
      </c>
    </row>
    <row r="10" spans="1:3" ht="13.5" thickBot="1"/>
    <row r="11" spans="1:3" ht="18">
      <c r="B11" s="335" t="s">
        <v>246</v>
      </c>
      <c r="C11" s="336"/>
    </row>
    <row r="12" spans="1:3" ht="15">
      <c r="A12" s="159"/>
      <c r="B12" s="158" t="s">
        <v>216</v>
      </c>
      <c r="C12" s="206"/>
    </row>
    <row r="13" spans="1:3" ht="15">
      <c r="A13" s="159"/>
      <c r="B13" s="160" t="s">
        <v>131</v>
      </c>
      <c r="C13" s="161">
        <v>1865</v>
      </c>
    </row>
    <row r="14" spans="1:3" ht="15">
      <c r="A14" s="159"/>
      <c r="B14" s="162" t="s">
        <v>132</v>
      </c>
      <c r="C14" s="161">
        <v>2655</v>
      </c>
    </row>
    <row r="15" spans="1:3" ht="14.25">
      <c r="A15" s="159"/>
      <c r="B15" s="207" t="s">
        <v>133</v>
      </c>
      <c r="C15" s="208">
        <v>108</v>
      </c>
    </row>
    <row r="16" spans="1:3" ht="14.25">
      <c r="A16" s="159"/>
      <c r="B16" s="207" t="s">
        <v>134</v>
      </c>
      <c r="C16" s="208">
        <v>1894</v>
      </c>
    </row>
    <row r="17" spans="1:7" ht="14.25">
      <c r="A17" s="159"/>
      <c r="B17" s="207" t="s">
        <v>135</v>
      </c>
      <c r="C17" s="208">
        <v>307</v>
      </c>
    </row>
    <row r="18" spans="1:7" ht="14.25">
      <c r="A18" s="159"/>
      <c r="B18" s="207" t="s">
        <v>136</v>
      </c>
      <c r="C18" s="208">
        <v>23</v>
      </c>
    </row>
    <row r="19" spans="1:7" ht="14.25">
      <c r="A19" s="159"/>
      <c r="B19" s="207" t="s">
        <v>137</v>
      </c>
      <c r="C19" s="208">
        <v>284</v>
      </c>
    </row>
    <row r="20" spans="1:7" ht="14.25">
      <c r="A20" s="159"/>
      <c r="B20" s="207" t="s">
        <v>138</v>
      </c>
      <c r="C20" s="208">
        <v>0</v>
      </c>
    </row>
    <row r="21" spans="1:7" ht="14.25">
      <c r="A21" s="159"/>
      <c r="B21" s="207" t="s">
        <v>139</v>
      </c>
      <c r="C21" s="208">
        <v>28</v>
      </c>
    </row>
    <row r="22" spans="1:7" ht="14.25">
      <c r="A22" s="159"/>
      <c r="B22" s="209" t="s">
        <v>140</v>
      </c>
      <c r="C22" s="210">
        <v>0</v>
      </c>
    </row>
    <row r="23" spans="1:7" ht="15">
      <c r="A23" s="159" t="s">
        <v>141</v>
      </c>
      <c r="B23" s="158" t="s">
        <v>142</v>
      </c>
      <c r="C23" s="206"/>
    </row>
    <row r="24" spans="1:7" ht="14.25">
      <c r="A24" s="159"/>
      <c r="B24" s="211" t="s">
        <v>310</v>
      </c>
      <c r="C24" s="212">
        <v>5565</v>
      </c>
    </row>
    <row r="25" spans="1:7" ht="14.25">
      <c r="A25" s="159"/>
      <c r="B25" s="207" t="s">
        <v>311</v>
      </c>
      <c r="C25" s="208">
        <v>4775</v>
      </c>
    </row>
    <row r="26" spans="1:7" ht="14.25">
      <c r="B26" s="207" t="s">
        <v>281</v>
      </c>
      <c r="C26" s="208">
        <f>C25-C24</f>
        <v>-790</v>
      </c>
    </row>
    <row r="27" spans="1:7" ht="14.25">
      <c r="B27" s="213"/>
      <c r="C27" s="214"/>
    </row>
    <row r="28" spans="1:7" ht="15">
      <c r="B28" s="163" t="s">
        <v>143</v>
      </c>
      <c r="C28" s="284">
        <f>MEDIAN(C13,C14)/MEDIAN(C24,C25)</f>
        <v>0.43713733075435202</v>
      </c>
      <c r="G28" s="1">
        <f>12/C28</f>
        <v>27.451327433628318</v>
      </c>
    </row>
    <row r="29" spans="1:7" ht="15">
      <c r="B29" s="160" t="s">
        <v>144</v>
      </c>
      <c r="C29" s="284">
        <f>C16/MEDIAN(C24,C25)</f>
        <v>0.36634429400386848</v>
      </c>
    </row>
    <row r="30" spans="1:7" ht="15">
      <c r="B30" s="165" t="s">
        <v>145</v>
      </c>
      <c r="C30" s="164">
        <v>360</v>
      </c>
    </row>
    <row r="31" spans="1:7" ht="15">
      <c r="B31" s="160" t="s">
        <v>262</v>
      </c>
      <c r="C31" s="164">
        <v>10</v>
      </c>
    </row>
    <row r="32" spans="1:7" ht="15">
      <c r="B32" s="160" t="s">
        <v>263</v>
      </c>
      <c r="C32" s="164">
        <v>30</v>
      </c>
      <c r="G32" s="1">
        <f>TRUNC(G37)</f>
        <v>3</v>
      </c>
    </row>
    <row r="33" spans="2:11" ht="15">
      <c r="B33" s="160" t="s">
        <v>264</v>
      </c>
      <c r="C33" s="164">
        <v>30</v>
      </c>
    </row>
    <row r="34" spans="2:11" s="108" customFormat="1" ht="15">
      <c r="B34" s="160" t="s">
        <v>146</v>
      </c>
      <c r="C34" s="215">
        <f>MEDIAN(C24,C25)</f>
        <v>5170</v>
      </c>
    </row>
    <row r="35" spans="2:11" s="108" customFormat="1" ht="15">
      <c r="B35" s="160" t="s">
        <v>44</v>
      </c>
      <c r="C35" s="216">
        <v>0.08</v>
      </c>
      <c r="K35" s="108">
        <f>IF(C39&gt;12,C39-12,C39)</f>
        <v>15.451327433628318</v>
      </c>
    </row>
    <row r="36" spans="2:11" s="108" customFormat="1" ht="15">
      <c r="B36" s="160" t="s">
        <v>147</v>
      </c>
      <c r="C36" s="216">
        <v>0.5</v>
      </c>
      <c r="K36" s="108" t="e">
        <f>IF(#REF!&gt;12,#REF!-12,#REF!)</f>
        <v>#REF!</v>
      </c>
    </row>
    <row r="37" spans="2:11" s="108" customFormat="1" ht="15">
      <c r="B37" s="160" t="s">
        <v>148</v>
      </c>
      <c r="C37" s="285">
        <f>((1/C28)-TRUNC(E37))</f>
        <v>0.28761061946902666</v>
      </c>
      <c r="D37" s="108">
        <f>TRUNC(E37)</f>
        <v>2</v>
      </c>
      <c r="E37" s="108">
        <f>1/C28</f>
        <v>2.2876106194690267</v>
      </c>
      <c r="F37" s="108">
        <f>((1/C28)-TRUNC(E37))</f>
        <v>0.28761061946902666</v>
      </c>
      <c r="G37" s="108">
        <f>12*F37</f>
        <v>3.45132743362832</v>
      </c>
      <c r="K37" s="108" t="e">
        <f>IF(#REF!&gt;12,#REF!-12,#REF!)</f>
        <v>#REF!</v>
      </c>
    </row>
    <row r="38" spans="2:11" s="108" customFormat="1" ht="15">
      <c r="B38" s="158" t="s">
        <v>149</v>
      </c>
      <c r="C38" s="166">
        <f>30+D38</f>
        <v>36</v>
      </c>
      <c r="D38" s="108">
        <f>3*D37</f>
        <v>6</v>
      </c>
      <c r="G38" s="108">
        <f>G37/12*40/360</f>
        <v>3.1956735496558517E-2</v>
      </c>
      <c r="K38" s="108" t="e">
        <f>IF(#REF!&gt;12,#REF!-12,#REF!)</f>
        <v>#REF!</v>
      </c>
    </row>
    <row r="39" spans="2:11" s="108" customFormat="1" ht="15.75" thickBot="1">
      <c r="B39" s="167" t="s">
        <v>267</v>
      </c>
      <c r="C39" s="286">
        <f>12/C28</f>
        <v>27.451327433628318</v>
      </c>
      <c r="K39" s="108" t="e">
        <f>IF(#REF!&gt;12,#REF!-12,#REF!)</f>
        <v>#REF!</v>
      </c>
    </row>
    <row r="40" spans="2:11">
      <c r="K40" s="1" t="e">
        <f t="shared" ref="K40:K41" si="0">IF(K39&gt;12,K39-12,K39)</f>
        <v>#REF!</v>
      </c>
    </row>
    <row r="41" spans="2:11">
      <c r="K41" s="1" t="e">
        <f t="shared" si="0"/>
        <v>#REF!</v>
      </c>
    </row>
  </sheetData>
  <mergeCells count="3">
    <mergeCell ref="B11:C11"/>
    <mergeCell ref="A7:C7"/>
    <mergeCell ref="A5:C5"/>
  </mergeCells>
  <pageMargins left="0.90551181102362199" right="0.51181102362204722" top="0.74803149606299213" bottom="0.74803149606299213" header="0.31496062992125984" footer="0.31496062992125984"/>
  <pageSetup paperSize="9" scale="98" orientation="portrait" verticalDpi="597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2"/>
  <sheetViews>
    <sheetView topLeftCell="A4" workbookViewId="0">
      <selection activeCell="E15" sqref="E15"/>
    </sheetView>
  </sheetViews>
  <sheetFormatPr defaultRowHeight="12.75"/>
  <cols>
    <col min="1" max="1" width="41.85546875" bestFit="1" customWidth="1"/>
    <col min="2" max="2" width="5.5703125" bestFit="1" customWidth="1"/>
    <col min="4" max="4" width="9.7109375" bestFit="1" customWidth="1"/>
    <col min="5" max="5" width="8" style="123" bestFit="1" customWidth="1"/>
    <col min="6" max="6" width="9.7109375" bestFit="1" customWidth="1"/>
  </cols>
  <sheetData>
    <row r="1" spans="1:8" s="148" customFormat="1" ht="14.25">
      <c r="A1" s="11" t="s">
        <v>213</v>
      </c>
      <c r="B1" s="146"/>
      <c r="C1" s="146"/>
      <c r="E1" s="149"/>
    </row>
    <row r="2" spans="1:8" s="148" customFormat="1" ht="14.25">
      <c r="A2" s="141" t="s">
        <v>268</v>
      </c>
      <c r="B2" s="146"/>
      <c r="C2" s="146"/>
      <c r="E2" s="149"/>
    </row>
    <row r="3" spans="1:8" s="148" customFormat="1" ht="14.25">
      <c r="A3" s="9" t="s">
        <v>214</v>
      </c>
      <c r="B3" s="146"/>
      <c r="C3" s="146"/>
      <c r="E3" s="149"/>
    </row>
    <row r="4" spans="1:8" s="148" customFormat="1" ht="14.25">
      <c r="A4" s="141"/>
      <c r="B4" s="146"/>
      <c r="C4" s="146"/>
      <c r="E4" s="149"/>
    </row>
    <row r="5" spans="1:8" s="148" customFormat="1" ht="15" thickBot="1">
      <c r="B5" s="146"/>
      <c r="C5" s="146"/>
      <c r="E5" s="149"/>
    </row>
    <row r="6" spans="1:8" ht="15.75">
      <c r="A6" s="344" t="s">
        <v>247</v>
      </c>
      <c r="B6" s="345"/>
      <c r="C6" s="345"/>
      <c r="D6" s="345"/>
      <c r="E6" s="345"/>
      <c r="F6" s="346"/>
    </row>
    <row r="7" spans="1:8" ht="16.5" thickBot="1">
      <c r="A7" s="268"/>
      <c r="B7" s="269"/>
      <c r="C7" s="269"/>
      <c r="D7" s="269"/>
      <c r="E7" s="269"/>
      <c r="F7" s="270"/>
    </row>
    <row r="8" spans="1:8" ht="15">
      <c r="A8" s="217"/>
      <c r="B8" s="147"/>
      <c r="C8" s="147"/>
      <c r="D8" s="341" t="s">
        <v>265</v>
      </c>
      <c r="E8" s="342"/>
      <c r="F8" s="343"/>
      <c r="G8" s="148"/>
      <c r="H8" s="148"/>
    </row>
    <row r="9" spans="1:8" ht="15" thickBot="1">
      <c r="A9" s="213"/>
      <c r="B9" s="218"/>
      <c r="C9" s="218"/>
      <c r="D9" s="219" t="s">
        <v>200</v>
      </c>
      <c r="E9" s="220" t="s">
        <v>201</v>
      </c>
      <c r="F9" s="221" t="s">
        <v>202</v>
      </c>
      <c r="G9" s="148"/>
      <c r="H9" s="148"/>
    </row>
    <row r="10" spans="1:8" ht="14.25">
      <c r="A10" s="222" t="s">
        <v>76</v>
      </c>
      <c r="B10" s="223" t="s">
        <v>77</v>
      </c>
      <c r="C10" s="224">
        <v>0.03</v>
      </c>
      <c r="D10" s="245">
        <v>2.9700000000000001E-2</v>
      </c>
      <c r="E10" s="246">
        <v>5.0799999999999998E-2</v>
      </c>
      <c r="F10" s="247">
        <v>6.2700000000000006E-2</v>
      </c>
      <c r="G10" s="148"/>
      <c r="H10" s="148"/>
    </row>
    <row r="11" spans="1:8" ht="14.25">
      <c r="A11" s="226" t="s">
        <v>78</v>
      </c>
      <c r="B11" s="227" t="s">
        <v>79</v>
      </c>
      <c r="C11" s="228">
        <v>0.01</v>
      </c>
      <c r="D11" s="245">
        <f>0.3%+0.56%</f>
        <v>8.6E-3</v>
      </c>
      <c r="E11" s="246">
        <f>0.48%+0.85%</f>
        <v>1.3299999999999999E-2</v>
      </c>
      <c r="F11" s="247">
        <f>0.82%+0.89%</f>
        <v>1.7099999999999997E-2</v>
      </c>
      <c r="G11" s="148"/>
      <c r="H11" s="148"/>
    </row>
    <row r="12" spans="1:8" ht="14.25">
      <c r="A12" s="226" t="s">
        <v>80</v>
      </c>
      <c r="B12" s="227" t="s">
        <v>81</v>
      </c>
      <c r="C12" s="228">
        <v>0.1</v>
      </c>
      <c r="D12" s="245">
        <v>7.7799999999999994E-2</v>
      </c>
      <c r="E12" s="246">
        <v>0.1085</v>
      </c>
      <c r="F12" s="247">
        <v>0.13550000000000001</v>
      </c>
      <c r="G12" s="148"/>
      <c r="H12" s="148"/>
    </row>
    <row r="13" spans="1:8" ht="14.25">
      <c r="A13" s="226" t="s">
        <v>82</v>
      </c>
      <c r="B13" s="227" t="s">
        <v>83</v>
      </c>
      <c r="C13" s="229">
        <f>(1+E13)^(E14/252)-1</f>
        <v>1.2353525625994344E-3</v>
      </c>
      <c r="D13" s="245" t="s">
        <v>305</v>
      </c>
      <c r="E13" s="230">
        <v>6.4199999999999993E-2</v>
      </c>
      <c r="F13" s="225"/>
      <c r="G13" s="148"/>
      <c r="H13" s="148"/>
    </row>
    <row r="14" spans="1:8" ht="14.25">
      <c r="A14" s="226" t="s">
        <v>84</v>
      </c>
      <c r="B14" s="339" t="s">
        <v>85</v>
      </c>
      <c r="C14" s="228">
        <v>0.02</v>
      </c>
      <c r="D14" s="310" t="s">
        <v>203</v>
      </c>
      <c r="E14" s="231">
        <v>5</v>
      </c>
      <c r="F14" s="232"/>
      <c r="G14" s="148"/>
      <c r="H14" s="148"/>
    </row>
    <row r="15" spans="1:8" ht="15" thickBot="1">
      <c r="A15" s="233" t="s">
        <v>86</v>
      </c>
      <c r="B15" s="340"/>
      <c r="C15" s="234">
        <v>3.6499999999999998E-2</v>
      </c>
      <c r="D15" s="207"/>
      <c r="E15" s="235"/>
      <c r="F15" s="232"/>
      <c r="G15" s="148"/>
      <c r="H15" s="148"/>
    </row>
    <row r="16" spans="1:8" ht="14.25">
      <c r="A16" s="236" t="s">
        <v>87</v>
      </c>
      <c r="B16" s="237"/>
      <c r="C16" s="238"/>
      <c r="D16" s="207"/>
      <c r="E16" s="235"/>
      <c r="F16" s="232"/>
      <c r="G16" s="148"/>
      <c r="H16" s="148"/>
    </row>
    <row r="17" spans="1:8" ht="15" thickBot="1">
      <c r="A17" s="239" t="s">
        <v>88</v>
      </c>
      <c r="B17" s="240"/>
      <c r="C17" s="241"/>
      <c r="D17" s="207"/>
      <c r="E17" s="235"/>
      <c r="F17" s="232"/>
      <c r="G17" s="148"/>
      <c r="H17" s="148"/>
    </row>
    <row r="18" spans="1:8" ht="15.75" thickBot="1">
      <c r="A18" s="242" t="s">
        <v>89</v>
      </c>
      <c r="B18" s="243"/>
      <c r="C18" s="244">
        <f>ROUND((((1+C10+C11)*(1+C12)*(1+C13))/(1-(C14+C15))-1),4)</f>
        <v>0.214</v>
      </c>
      <c r="D18" s="248">
        <v>0.21429999999999999</v>
      </c>
      <c r="E18" s="249">
        <v>0.2717</v>
      </c>
      <c r="F18" s="250">
        <v>0.3362</v>
      </c>
      <c r="G18" s="148"/>
      <c r="H18" s="148"/>
    </row>
    <row r="19" spans="1:8" ht="14.25">
      <c r="A19" s="148"/>
      <c r="B19" s="148"/>
      <c r="C19" s="148"/>
      <c r="D19" s="148"/>
      <c r="E19" s="149"/>
      <c r="F19" s="148"/>
      <c r="G19" s="148"/>
      <c r="H19" s="148"/>
    </row>
    <row r="20" spans="1:8" ht="14.25">
      <c r="A20" s="148"/>
      <c r="B20" s="148"/>
      <c r="C20" s="148"/>
      <c r="D20" s="148"/>
      <c r="E20" s="149"/>
      <c r="F20" s="148"/>
      <c r="G20" s="148"/>
      <c r="H20" s="148"/>
    </row>
    <row r="21" spans="1:8" ht="14.25">
      <c r="A21" s="148"/>
      <c r="B21" s="148"/>
      <c r="C21" s="148"/>
      <c r="D21" s="148"/>
      <c r="E21" s="149"/>
      <c r="F21" s="148"/>
      <c r="G21" s="148"/>
      <c r="H21" s="148"/>
    </row>
    <row r="22" spans="1:8" ht="14.25">
      <c r="A22" s="148"/>
      <c r="B22" s="148"/>
      <c r="C22" s="148"/>
      <c r="D22" s="148"/>
      <c r="E22" s="149"/>
      <c r="F22" s="148"/>
      <c r="G22" s="148"/>
      <c r="H22" s="148"/>
    </row>
  </sheetData>
  <mergeCells count="3">
    <mergeCell ref="B14:B15"/>
    <mergeCell ref="D8:F8"/>
    <mergeCell ref="A6:F6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B3" sqref="B3"/>
    </sheetView>
  </sheetViews>
  <sheetFormatPr defaultRowHeight="19.5" customHeight="1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>
      <c r="A1" s="347" t="s">
        <v>249</v>
      </c>
      <c r="B1" s="348"/>
    </row>
    <row r="2" spans="1:2" s="108" customFormat="1" ht="19.5" customHeight="1">
      <c r="A2" s="271" t="s">
        <v>222</v>
      </c>
      <c r="B2" s="272" t="s">
        <v>307</v>
      </c>
    </row>
    <row r="3" spans="1:2" ht="19.5" customHeight="1">
      <c r="A3" s="169">
        <v>1</v>
      </c>
      <c r="B3" s="168">
        <v>33.629999999999995</v>
      </c>
    </row>
    <row r="4" spans="1:2" ht="19.5" customHeight="1">
      <c r="A4" s="169">
        <v>2</v>
      </c>
      <c r="B4" s="168">
        <v>43.13</v>
      </c>
    </row>
    <row r="5" spans="1:2" ht="19.5" customHeight="1">
      <c r="A5" s="169">
        <v>3</v>
      </c>
      <c r="B5" s="168">
        <v>48.68</v>
      </c>
    </row>
    <row r="6" spans="1:2" ht="19.5" customHeight="1">
      <c r="A6" s="169">
        <v>4</v>
      </c>
      <c r="B6" s="168">
        <v>52.62</v>
      </c>
    </row>
    <row r="7" spans="1:2" ht="19.5" customHeight="1">
      <c r="A7" s="169">
        <v>5</v>
      </c>
      <c r="B7" s="168">
        <v>55.679999999999993</v>
      </c>
    </row>
    <row r="8" spans="1:2" ht="19.5" customHeight="1">
      <c r="A8" s="169">
        <v>6</v>
      </c>
      <c r="B8" s="168">
        <v>58.18</v>
      </c>
    </row>
    <row r="9" spans="1:2" ht="19.5" customHeight="1">
      <c r="A9" s="169">
        <v>7</v>
      </c>
      <c r="B9" s="168">
        <v>60.29</v>
      </c>
    </row>
    <row r="10" spans="1:2" ht="19.5" customHeight="1">
      <c r="A10" s="169">
        <v>8</v>
      </c>
      <c r="B10" s="168">
        <v>62.12</v>
      </c>
    </row>
    <row r="11" spans="1:2" ht="19.5" customHeight="1">
      <c r="A11" s="169">
        <v>9</v>
      </c>
      <c r="B11" s="168">
        <v>63.73</v>
      </c>
    </row>
    <row r="12" spans="1:2" ht="19.5" customHeight="1">
      <c r="A12" s="169">
        <v>10</v>
      </c>
      <c r="B12" s="168">
        <v>65.180000000000007</v>
      </c>
    </row>
    <row r="13" spans="1:2" ht="19.5" customHeight="1">
      <c r="A13" s="169">
        <v>11</v>
      </c>
      <c r="B13" s="168">
        <v>66.47999999999999</v>
      </c>
    </row>
    <row r="14" spans="1:2" ht="19.5" customHeight="1">
      <c r="A14" s="169">
        <v>12</v>
      </c>
      <c r="B14" s="168">
        <v>67.67</v>
      </c>
    </row>
    <row r="15" spans="1:2" ht="19.5" customHeight="1">
      <c r="A15" s="169">
        <v>13</v>
      </c>
      <c r="B15" s="168">
        <v>68.77</v>
      </c>
    </row>
    <row r="16" spans="1:2" ht="19.5" customHeight="1">
      <c r="A16" s="169">
        <v>14</v>
      </c>
      <c r="B16" s="168">
        <v>69.789999999999992</v>
      </c>
    </row>
    <row r="17" spans="1:2" ht="19.5" customHeight="1" thickBot="1">
      <c r="A17" s="170">
        <v>15</v>
      </c>
      <c r="B17" s="171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7"/>
  <sheetViews>
    <sheetView workbookViewId="0"/>
  </sheetViews>
  <sheetFormatPr defaultRowHeight="12.75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>
      <c r="A1" s="254" t="s">
        <v>253</v>
      </c>
    </row>
    <row r="2" spans="1:1">
      <c r="A2" s="251"/>
    </row>
    <row r="3" spans="1:1">
      <c r="A3" s="251" t="s">
        <v>269</v>
      </c>
    </row>
    <row r="4" spans="1:1">
      <c r="A4" s="251"/>
    </row>
    <row r="5" spans="1:1">
      <c r="A5" s="251"/>
    </row>
    <row r="6" spans="1:1">
      <c r="A6" s="251"/>
    </row>
    <row r="7" spans="1:1">
      <c r="A7" s="251"/>
    </row>
    <row r="8" spans="1:1">
      <c r="A8" s="251"/>
    </row>
    <row r="9" spans="1:1">
      <c r="A9" s="251"/>
    </row>
    <row r="10" spans="1:1">
      <c r="A10" s="251"/>
    </row>
    <row r="11" spans="1:1">
      <c r="A11" s="251"/>
    </row>
    <row r="12" spans="1:1" ht="19.5">
      <c r="A12" s="252" t="s">
        <v>250</v>
      </c>
    </row>
    <row r="13" spans="1:1" ht="15">
      <c r="A13" s="252" t="s">
        <v>114</v>
      </c>
    </row>
    <row r="14" spans="1:1" ht="15">
      <c r="A14" s="252" t="s">
        <v>119</v>
      </c>
    </row>
    <row r="15" spans="1:1" ht="19.5">
      <c r="A15" s="252" t="s">
        <v>251</v>
      </c>
    </row>
    <row r="16" spans="1:1" ht="19.5">
      <c r="A16" s="252" t="s">
        <v>252</v>
      </c>
    </row>
    <row r="17" spans="1:1" ht="15.75" thickBot="1">
      <c r="A17" s="253" t="s">
        <v>115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C21"/>
  <sheetViews>
    <sheetView topLeftCell="A7" zoomScale="170" zoomScaleNormal="170" workbookViewId="0">
      <selection activeCell="C21" sqref="C21"/>
    </sheetView>
  </sheetViews>
  <sheetFormatPr defaultRowHeight="12.75"/>
  <cols>
    <col min="1" max="1" width="58.28515625" style="283" customWidth="1"/>
    <col min="2" max="2" width="11.140625" style="283" bestFit="1" customWidth="1"/>
    <col min="3" max="3" width="11.28515625" style="283" bestFit="1" customWidth="1"/>
    <col min="4" max="16384" width="9.140625" style="283"/>
  </cols>
  <sheetData>
    <row r="1" spans="1:3">
      <c r="A1" s="11" t="s">
        <v>213</v>
      </c>
    </row>
    <row r="2" spans="1:3">
      <c r="A2" s="291" t="s">
        <v>282</v>
      </c>
    </row>
    <row r="3" spans="1:3">
      <c r="A3" s="291" t="s">
        <v>308</v>
      </c>
    </row>
    <row r="4" spans="1:3">
      <c r="A4" s="7" t="s">
        <v>306</v>
      </c>
    </row>
    <row r="5" spans="1:3" ht="13.5" thickBot="1"/>
    <row r="6" spans="1:3" ht="18">
      <c r="A6" s="349" t="s">
        <v>302</v>
      </c>
      <c r="B6" s="350"/>
      <c r="C6" s="351"/>
    </row>
    <row r="7" spans="1:3" s="292" customFormat="1" ht="18">
      <c r="A7" s="307"/>
      <c r="B7" s="306"/>
      <c r="C7" s="308"/>
    </row>
    <row r="8" spans="1:3" s="108" customFormat="1" ht="15">
      <c r="A8" s="293" t="s">
        <v>303</v>
      </c>
      <c r="B8" s="294" t="s">
        <v>283</v>
      </c>
      <c r="C8" s="295" t="s">
        <v>152</v>
      </c>
    </row>
    <row r="9" spans="1:3" ht="14.25">
      <c r="A9" s="296" t="s">
        <v>291</v>
      </c>
      <c r="B9" s="297" t="s">
        <v>284</v>
      </c>
      <c r="C9" s="208">
        <v>26092</v>
      </c>
    </row>
    <row r="10" spans="1:3" ht="14.25">
      <c r="A10" s="207" t="s">
        <v>292</v>
      </c>
      <c r="B10" s="298" t="s">
        <v>289</v>
      </c>
      <c r="C10" s="299">
        <f>0.0362741*C9^0.2336249</f>
        <v>0.39030376311587001</v>
      </c>
    </row>
    <row r="11" spans="1:3" ht="14.25">
      <c r="A11" s="207" t="s">
        <v>293</v>
      </c>
      <c r="B11" s="298" t="s">
        <v>290</v>
      </c>
      <c r="C11" s="300">
        <f>C9*C10/1000</f>
        <v>10.18380578721928</v>
      </c>
    </row>
    <row r="12" spans="1:3" ht="14.25">
      <c r="A12" s="207" t="s">
        <v>299</v>
      </c>
      <c r="B12" s="298" t="s">
        <v>285</v>
      </c>
      <c r="C12" s="301">
        <f>(C11*30)</f>
        <v>305.51417361657838</v>
      </c>
    </row>
    <row r="13" spans="1:3" ht="14.25">
      <c r="A13" s="207" t="s">
        <v>295</v>
      </c>
      <c r="B13" s="298" t="s">
        <v>93</v>
      </c>
      <c r="C13" s="304">
        <v>6</v>
      </c>
    </row>
    <row r="14" spans="1:3" ht="14.25">
      <c r="A14" s="207" t="s">
        <v>294</v>
      </c>
      <c r="B14" s="298" t="s">
        <v>290</v>
      </c>
      <c r="C14" s="300">
        <f>IFERROR(C11*7/C13,0)</f>
        <v>11.881106751755825</v>
      </c>
    </row>
    <row r="15" spans="1:3" ht="14.25">
      <c r="A15" s="296" t="s">
        <v>286</v>
      </c>
      <c r="B15" s="298" t="s">
        <v>287</v>
      </c>
      <c r="C15" s="232">
        <v>500</v>
      </c>
    </row>
    <row r="16" spans="1:3" ht="14.25">
      <c r="A16" s="207" t="s">
        <v>300</v>
      </c>
      <c r="B16" s="298"/>
      <c r="C16" s="208">
        <v>2</v>
      </c>
    </row>
    <row r="17" spans="1:3" ht="14.25">
      <c r="A17" s="296" t="s">
        <v>301</v>
      </c>
      <c r="B17" s="298" t="s">
        <v>288</v>
      </c>
      <c r="C17" s="208">
        <v>15</v>
      </c>
    </row>
    <row r="18" spans="1:3" ht="14.25">
      <c r="A18" s="207" t="s">
        <v>296</v>
      </c>
      <c r="B18" s="298" t="s">
        <v>285</v>
      </c>
      <c r="C18" s="232">
        <f>IF(AND(C17&gt;=15,C16=1),5.8,C17/2)</f>
        <v>7.5</v>
      </c>
    </row>
    <row r="19" spans="1:3" ht="14.25">
      <c r="A19" s="296" t="s">
        <v>297</v>
      </c>
      <c r="B19" s="298"/>
      <c r="C19" s="300">
        <f>IFERROR(C14/C18,0)</f>
        <v>1.5841475669007765</v>
      </c>
    </row>
    <row r="20" spans="1:3" ht="14.25">
      <c r="A20" s="296" t="s">
        <v>304</v>
      </c>
      <c r="B20" s="298"/>
      <c r="C20" s="309">
        <v>2</v>
      </c>
    </row>
    <row r="21" spans="1:3" ht="15" thickBot="1">
      <c r="A21" s="302" t="s">
        <v>298</v>
      </c>
      <c r="B21" s="303"/>
      <c r="C21" s="305">
        <f>IFERROR(C19/C20,0)</f>
        <v>0.79207378345038826</v>
      </c>
    </row>
  </sheetData>
  <mergeCells count="1">
    <mergeCell ref="A6:C6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F7:J22"/>
  <sheetViews>
    <sheetView workbookViewId="0">
      <selection activeCell="J17" sqref="J17"/>
    </sheetView>
  </sheetViews>
  <sheetFormatPr defaultRowHeight="12.75"/>
  <cols>
    <col min="9" max="9" width="17.42578125" bestFit="1" customWidth="1"/>
  </cols>
  <sheetData>
    <row r="7" spans="6:10">
      <c r="I7" t="s">
        <v>346</v>
      </c>
    </row>
    <row r="8" spans="6:10">
      <c r="I8" t="s">
        <v>345</v>
      </c>
    </row>
    <row r="9" spans="6:10">
      <c r="F9">
        <v>40940</v>
      </c>
    </row>
    <row r="10" spans="6:10">
      <c r="F10">
        <v>55360</v>
      </c>
      <c r="H10" t="s">
        <v>8</v>
      </c>
      <c r="I10">
        <v>200</v>
      </c>
      <c r="J10">
        <f>I10</f>
        <v>200</v>
      </c>
    </row>
    <row r="11" spans="6:10">
      <c r="F11">
        <v>56890</v>
      </c>
      <c r="I11">
        <v>97.9</v>
      </c>
      <c r="J11">
        <f>I11*2</f>
        <v>195.8</v>
      </c>
    </row>
    <row r="12" spans="6:10">
      <c r="F12">
        <v>49890</v>
      </c>
    </row>
    <row r="13" spans="6:10">
      <c r="F13">
        <v>56080</v>
      </c>
      <c r="I13" t="s">
        <v>347</v>
      </c>
      <c r="J13">
        <f>J11*3</f>
        <v>587.40000000000009</v>
      </c>
    </row>
    <row r="14" spans="6:10">
      <c r="F14">
        <v>21430</v>
      </c>
      <c r="I14" t="s">
        <v>348</v>
      </c>
      <c r="J14">
        <f>J13*4</f>
        <v>2349.6000000000004</v>
      </c>
    </row>
    <row r="15" spans="6:10">
      <c r="F15">
        <v>52860</v>
      </c>
    </row>
    <row r="16" spans="6:10">
      <c r="F16">
        <v>64280</v>
      </c>
      <c r="I16" t="s">
        <v>349</v>
      </c>
      <c r="J16">
        <f>J14+J10</f>
        <v>2549.6000000000004</v>
      </c>
    </row>
    <row r="17" spans="6:6">
      <c r="F17">
        <v>48184</v>
      </c>
    </row>
    <row r="19" spans="6:6">
      <c r="F19">
        <f>SUM(F9:F18)</f>
        <v>445914</v>
      </c>
    </row>
    <row r="20" spans="6:6">
      <c r="F20">
        <f>F19/9</f>
        <v>49546</v>
      </c>
    </row>
    <row r="21" spans="6:6">
      <c r="F21">
        <f>F20*12</f>
        <v>594552</v>
      </c>
    </row>
    <row r="22" spans="6:6">
      <c r="F22">
        <f>F21/12</f>
        <v>49546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5</vt:i4>
      </vt:variant>
    </vt:vector>
  </HeadingPairs>
  <TitlesOfParts>
    <vt:vector size="13" baseType="lpstr">
      <vt:lpstr>1. Coleta Domiciliar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Plan1</vt:lpstr>
      <vt:lpstr>AbaDeprec</vt:lpstr>
      <vt:lpstr>AbaRemun</vt:lpstr>
      <vt:lpstr>'1. Coleta Domiciliar'!Area_de_impressao</vt:lpstr>
      <vt:lpstr>'2.Encargos Sociais'!Area_de_impressao</vt:lpstr>
      <vt:lpstr>'1. Coleta Domiciliar'!Titulos_de_impressao</vt:lpstr>
    </vt:vector>
  </TitlesOfParts>
  <Company>dmlu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asilveira</cp:lastModifiedBy>
  <cp:lastPrinted>2019-01-21T18:05:20Z</cp:lastPrinted>
  <dcterms:created xsi:type="dcterms:W3CDTF">2000-12-13T10:02:50Z</dcterms:created>
  <dcterms:modified xsi:type="dcterms:W3CDTF">2019-07-02T18:52:37Z</dcterms:modified>
</cp:coreProperties>
</file>