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815" yWindow="0" windowWidth="11910" windowHeight="9255" tabRatio="802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Domiciliar'!$A$8:$F$299</definedName>
    <definedName name="_xlnm.Print_Area" localSheetId="1">'2.Encargos Sociais'!$A$1:$C$36</definedName>
    <definedName name="_xlnm.Print_Titles" localSheetId="0">'1. Coleta Domiciliar'!$1:$6</definedName>
  </definedNames>
  <calcPr calcId="124519"/>
</workbook>
</file>

<file path=xl/calcChain.xml><?xml version="1.0" encoding="utf-8"?>
<calcChain xmlns="http://schemas.openxmlformats.org/spreadsheetml/2006/main">
  <c r="F250" i="2"/>
  <c r="E254"/>
  <c r="F255" s="1"/>
  <c r="C186"/>
  <c r="E158"/>
  <c r="F159"/>
  <c r="F278"/>
  <c r="D226"/>
  <c r="C26" i="5" l="1"/>
  <c r="A32" i="2" l="1"/>
  <c r="A31"/>
  <c r="A30"/>
  <c r="A22"/>
  <c r="A21"/>
  <c r="A13"/>
  <c r="C18" i="9" l="1"/>
  <c r="C10"/>
  <c r="C11" s="1"/>
  <c r="C12" l="1"/>
  <c r="C14"/>
  <c r="C19" s="1"/>
  <c r="C21" s="1"/>
  <c r="C185" i="2"/>
  <c r="C190"/>
  <c r="E41" l="1"/>
  <c r="E40"/>
  <c r="E39"/>
  <c r="E38"/>
  <c r="E45"/>
  <c r="C209" l="1"/>
  <c r="C204"/>
  <c r="D234"/>
  <c r="D232"/>
  <c r="D230"/>
  <c r="D228"/>
  <c r="D164" l="1"/>
  <c r="E164" s="1"/>
  <c r="E148"/>
  <c r="E149"/>
  <c r="E150"/>
  <c r="E151"/>
  <c r="E152"/>
  <c r="E153"/>
  <c r="E154"/>
  <c r="E155"/>
  <c r="E156"/>
  <c r="E147"/>
  <c r="D56" l="1"/>
  <c r="E56" s="1"/>
  <c r="D55"/>
  <c r="E55" s="1"/>
  <c r="D88"/>
  <c r="E88" s="1"/>
  <c r="C107"/>
  <c r="D57" l="1"/>
  <c r="E57" s="1"/>
  <c r="C110"/>
  <c r="D89"/>
  <c r="E89" s="1"/>
  <c r="D90" s="1"/>
  <c r="E90" s="1"/>
  <c r="C75"/>
  <c r="C72"/>
  <c r="C249" l="1"/>
  <c r="D102"/>
  <c r="A29"/>
  <c r="A28"/>
  <c r="A27"/>
  <c r="A26"/>
  <c r="A25"/>
  <c r="A24"/>
  <c r="A23"/>
  <c r="A20"/>
  <c r="A19"/>
  <c r="A18"/>
  <c r="A17"/>
  <c r="A16"/>
  <c r="A15"/>
  <c r="A14"/>
  <c r="C17" i="8"/>
  <c r="E278" i="2"/>
  <c r="E218"/>
  <c r="E210"/>
  <c r="E194"/>
  <c r="E172"/>
  <c r="E159"/>
  <c r="E138"/>
  <c r="E118"/>
  <c r="E97"/>
  <c r="E82"/>
  <c r="E63"/>
  <c r="D198"/>
  <c r="C13" i="4"/>
  <c r="C18" s="1"/>
  <c r="C287" i="2" s="1"/>
  <c r="F11" i="4"/>
  <c r="E11"/>
  <c r="D11"/>
  <c r="C14" i="8"/>
  <c r="C34" i="5"/>
  <c r="C29"/>
  <c r="C28" i="8" s="1"/>
  <c r="C28" i="5"/>
  <c r="C113" i="2"/>
  <c r="C104"/>
  <c r="D101"/>
  <c r="D107" s="1"/>
  <c r="E107" s="1"/>
  <c r="E86"/>
  <c r="D125" s="1"/>
  <c r="C125"/>
  <c r="C247"/>
  <c r="E247" s="1"/>
  <c r="C226"/>
  <c r="D235"/>
  <c r="E182"/>
  <c r="D185" s="1"/>
  <c r="D203"/>
  <c r="C191"/>
  <c r="C69"/>
  <c r="D67"/>
  <c r="C274"/>
  <c r="C276" s="1"/>
  <c r="E276" s="1"/>
  <c r="D277" s="1"/>
  <c r="E277" s="1"/>
  <c r="C187"/>
  <c r="C203" s="1"/>
  <c r="C124"/>
  <c r="A38"/>
  <c r="A39"/>
  <c r="A40"/>
  <c r="A41"/>
  <c r="A45"/>
  <c r="E54"/>
  <c r="D124" s="1"/>
  <c r="C77"/>
  <c r="A130"/>
  <c r="A136" s="1"/>
  <c r="A131"/>
  <c r="A137" s="1"/>
  <c r="E157"/>
  <c r="D165"/>
  <c r="E165" s="1"/>
  <c r="D166"/>
  <c r="E166" s="1"/>
  <c r="D167"/>
  <c r="E167" s="1"/>
  <c r="D168"/>
  <c r="E168" s="1"/>
  <c r="D169"/>
  <c r="E169" s="1"/>
  <c r="E170"/>
  <c r="C214"/>
  <c r="D214"/>
  <c r="E245"/>
  <c r="C216"/>
  <c r="E216" s="1"/>
  <c r="C215"/>
  <c r="E215" s="1"/>
  <c r="E262"/>
  <c r="E265"/>
  <c r="E266"/>
  <c r="E263"/>
  <c r="E264"/>
  <c r="D92"/>
  <c r="E92" s="1"/>
  <c r="D113"/>
  <c r="C228" l="1"/>
  <c r="E228" s="1"/>
  <c r="E226"/>
  <c r="C27" i="8"/>
  <c r="G28" i="5"/>
  <c r="C39"/>
  <c r="E37"/>
  <c r="D37" s="1"/>
  <c r="D38" s="1"/>
  <c r="C38" s="1"/>
  <c r="C24" i="8" s="1"/>
  <c r="C32" s="1"/>
  <c r="D75" i="2"/>
  <c r="E75" s="1"/>
  <c r="D70"/>
  <c r="E70" s="1"/>
  <c r="E101"/>
  <c r="D105"/>
  <c r="E105" s="1"/>
  <c r="D108"/>
  <c r="E108" s="1"/>
  <c r="D110"/>
  <c r="E110" s="1"/>
  <c r="D104"/>
  <c r="E104" s="1"/>
  <c r="D73"/>
  <c r="E73" s="1"/>
  <c r="D72"/>
  <c r="E72" s="1"/>
  <c r="C232"/>
  <c r="E232" s="1"/>
  <c r="D69"/>
  <c r="E69" s="1"/>
  <c r="E113"/>
  <c r="C234"/>
  <c r="E234" s="1"/>
  <c r="C200"/>
  <c r="F267"/>
  <c r="F269" s="1"/>
  <c r="E30" s="1"/>
  <c r="C131"/>
  <c r="E131" s="1"/>
  <c r="E67"/>
  <c r="E187"/>
  <c r="C205" s="1"/>
  <c r="D158"/>
  <c r="C130"/>
  <c r="E130" s="1"/>
  <c r="C158"/>
  <c r="E42"/>
  <c r="C136"/>
  <c r="E136" s="1"/>
  <c r="E124"/>
  <c r="E203"/>
  <c r="C137"/>
  <c r="E137" s="1"/>
  <c r="D58"/>
  <c r="E58" s="1"/>
  <c r="E59" s="1"/>
  <c r="D60" s="1"/>
  <c r="C171"/>
  <c r="C230"/>
  <c r="E230" s="1"/>
  <c r="C240"/>
  <c r="E240" s="1"/>
  <c r="F241" s="1"/>
  <c r="E28" s="1"/>
  <c r="E274"/>
  <c r="D275" s="1"/>
  <c r="E275" s="1"/>
  <c r="F280" s="1"/>
  <c r="E31" s="1"/>
  <c r="E198"/>
  <c r="D248"/>
  <c r="E248" s="1"/>
  <c r="D249" s="1"/>
  <c r="E249" s="1"/>
  <c r="E29" s="1"/>
  <c r="E214"/>
  <c r="D217" s="1"/>
  <c r="E217" s="1"/>
  <c r="F218" s="1"/>
  <c r="E26" s="1"/>
  <c r="E125"/>
  <c r="E185"/>
  <c r="D186" s="1"/>
  <c r="E186" s="1"/>
  <c r="D171"/>
  <c r="E93"/>
  <c r="C26" i="8" l="1"/>
  <c r="C25"/>
  <c r="K35" i="5"/>
  <c r="K36" s="1"/>
  <c r="K37" s="1"/>
  <c r="K38" s="1"/>
  <c r="K39" s="1"/>
  <c r="K40" s="1"/>
  <c r="K41" s="1"/>
  <c r="C16" i="8"/>
  <c r="C22" s="1"/>
  <c r="C31" s="1"/>
  <c r="C33" s="1"/>
  <c r="F37" i="5"/>
  <c r="G37" s="1"/>
  <c r="C37"/>
  <c r="C201" i="2"/>
  <c r="D202" s="1"/>
  <c r="E202" s="1"/>
  <c r="D76"/>
  <c r="E76" s="1"/>
  <c r="D77" s="1"/>
  <c r="E77" s="1"/>
  <c r="D111"/>
  <c r="E111" s="1"/>
  <c r="F132"/>
  <c r="E19" s="1"/>
  <c r="F138"/>
  <c r="E20" s="1"/>
  <c r="E171"/>
  <c r="F172" s="1"/>
  <c r="D190"/>
  <c r="E190" s="1"/>
  <c r="D191" s="1"/>
  <c r="E191" s="1"/>
  <c r="F126"/>
  <c r="E18" s="1"/>
  <c r="F236"/>
  <c r="E27" s="1"/>
  <c r="D94"/>
  <c r="C29" i="8" l="1"/>
  <c r="C34" s="1"/>
  <c r="G38" i="5"/>
  <c r="G32"/>
  <c r="E192" i="2"/>
  <c r="D193" s="1"/>
  <c r="E193" s="1"/>
  <c r="F194" s="1"/>
  <c r="C206"/>
  <c r="D207" s="1"/>
  <c r="E207" s="1"/>
  <c r="E208" s="1"/>
  <c r="D209" s="1"/>
  <c r="E209" s="1"/>
  <c r="F210" s="1"/>
  <c r="F174"/>
  <c r="E21" s="1"/>
  <c r="E114"/>
  <c r="D115" s="1"/>
  <c r="E78"/>
  <c r="F257" l="1"/>
  <c r="E22" s="1"/>
  <c r="E24"/>
  <c r="C94"/>
  <c r="C60"/>
  <c r="E60" s="1"/>
  <c r="E61" s="1"/>
  <c r="D62" s="1"/>
  <c r="E62" s="1"/>
  <c r="F63" s="1"/>
  <c r="E14" s="1"/>
  <c r="C115"/>
  <c r="C79"/>
  <c r="E25"/>
  <c r="D79"/>
  <c r="E23" l="1"/>
  <c r="E79"/>
  <c r="E80" s="1"/>
  <c r="D81" s="1"/>
  <c r="E81" s="1"/>
  <c r="F82" s="1"/>
  <c r="E15" s="1"/>
  <c r="E115"/>
  <c r="E116" s="1"/>
  <c r="D117" s="1"/>
  <c r="E117" s="1"/>
  <c r="F118" s="1"/>
  <c r="E17" s="1"/>
  <c r="E94"/>
  <c r="E95" s="1"/>
  <c r="D96" s="1"/>
  <c r="E96" s="1"/>
  <c r="F97" s="1"/>
  <c r="E16" s="1"/>
  <c r="F140" l="1"/>
  <c r="F282" s="1"/>
  <c r="E13" l="1"/>
  <c r="D287"/>
  <c r="E287" s="1"/>
  <c r="F288" s="1"/>
  <c r="F290" s="1"/>
  <c r="E32" s="1"/>
  <c r="E33" l="1"/>
  <c r="F13" s="1"/>
  <c r="F293"/>
  <c r="F298" s="1"/>
  <c r="F31" l="1"/>
  <c r="F15"/>
  <c r="F21"/>
  <c r="F14"/>
  <c r="F20"/>
  <c r="F17"/>
  <c r="F22"/>
  <c r="F29"/>
  <c r="F28"/>
  <c r="F16"/>
  <c r="F23"/>
  <c r="F24"/>
  <c r="F25"/>
  <c r="F19"/>
  <c r="F26"/>
  <c r="F18"/>
  <c r="F30"/>
  <c r="F27"/>
  <c r="F32"/>
  <c r="F33" l="1"/>
</calcChain>
</file>

<file path=xl/comments1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5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57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2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0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1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3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4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6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9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1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6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7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8" author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89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0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2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5" author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6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09" author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2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5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3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5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1" authorId="0">
      <text>
        <r>
          <rPr>
            <sz val="9"/>
            <color indexed="81"/>
            <rFont val="Tahoma"/>
            <family val="2"/>
          </rPr>
          <t>Informar o valor unitário diário do vale refeição conforme Convenção Coletiva da categoria</t>
        </r>
      </text>
    </comment>
    <comment ref="D136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D137" authorId="0">
      <text>
        <r>
          <rPr>
            <sz val="9"/>
            <color indexed="81"/>
            <rFont val="Tahoma"/>
            <family val="2"/>
          </rPr>
          <t>Informar o valor mensal do auxilio alimentação conforme Convenção Coletiva da categoria</t>
        </r>
      </text>
    </comment>
    <comment ref="C14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4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4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0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7" author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8" author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89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99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
</t>
        </r>
      </text>
    </comment>
    <comment ref="B22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7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29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2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1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1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3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3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0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5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5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6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47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48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54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54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62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6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6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4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</t>
        </r>
      </text>
    </comment>
    <comment ref="D276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7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96" author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Jorge Mesquita</author>
  </authors>
  <commentList>
    <comment ref="G37" authorId="0">
      <text>
        <r>
          <rPr>
            <b/>
            <sz val="9"/>
            <color indexed="81"/>
            <rFont val="Tahoma"/>
            <family val="2"/>
          </rPr>
          <t>Jorge Mesquita:</t>
        </r>
        <r>
          <rPr>
            <sz val="9"/>
            <color indexed="81"/>
            <rFont val="Tahoma"/>
            <family val="2"/>
          </rPr>
          <t xml:space="preserve">
Criar um tipo de arredondamento.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4.xml><?xml version="1.0" encoding="utf-8"?>
<comments xmlns="http://schemas.openxmlformats.org/spreadsheetml/2006/main">
  <authors>
    <author>cbridi</author>
    <author>Clauber Bridi</author>
    <author>Omar</author>
  </authors>
  <commentList>
    <comment ref="C9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0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1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3" author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6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17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0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<sst xmlns="http://schemas.openxmlformats.org/spreadsheetml/2006/main" count="610" uniqueCount="323">
  <si>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</si>
  <si>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</si>
  <si>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</si>
  <si>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</si>
  <si>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</si>
  <si>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</si>
  <si>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</si>
  <si>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</si>
  <si>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</si>
  <si>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</si>
  <si>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</si>
  <si>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</si>
  <si>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</si>
  <si>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</si>
  <si>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</si>
  <si>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</si>
  <si>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</si>
  <si>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</si>
  <si>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</si>
  <si>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</si>
  <si>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</si>
  <si>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</si>
  <si>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</si>
  <si>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</si>
  <si>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</si>
  <si>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</si>
  <si>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</si>
  <si>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</si>
  <si>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</si>
  <si>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</si>
  <si>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</si>
  <si>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</si>
  <si>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</si>
  <si>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</si>
  <si>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</si>
  <si>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</si>
  <si>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</si>
  <si>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</si>
  <si>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</si>
  <si>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</si>
  <si>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</si>
  <si>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</si>
  <si>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</si>
  <si>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</si>
  <si>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</si>
  <si>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</si>
  <si>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</si>
  <si>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</si>
  <si>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</si>
  <si>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</si>
  <si>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</si>
  <si>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</si>
  <si>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</si>
  <si>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</si>
  <si>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</si>
  <si>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</si>
  <si>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</si>
  <si>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</si>
  <si>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</si>
  <si>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</si>
  <si>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</si>
  <si>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</si>
  <si>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</si>
  <si>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</si>
  <si>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</si>
  <si>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</si>
  <si>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</si>
  <si>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</si>
  <si>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</si>
  <si>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</si>
  <si>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</si>
  <si>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</si>
  <si>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</si>
  <si>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</si>
  <si>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</si>
  <si>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</si>
  <si>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</si>
  <si>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</si>
  <si>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</si>
  <si>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</si>
  <si>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</si>
  <si>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</si>
  <si>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</si>
  <si>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</si>
  <si>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</si>
  <si>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</si>
  <si>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</si>
  <si>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</si>
  <si>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</si>
  <si>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</si>
  <si>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</si>
  <si>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</si>
  <si>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</si>
  <si>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</si>
  <si>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</si>
  <si>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</si>
  <si>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</si>
  <si>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</si>
  <si>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</si>
  <si>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</si>
  <si>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</si>
  <si>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Custo do jogo de pneus xxx/xx Rxx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</si>
  <si>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</si>
  <si>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</si>
  <si>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</si>
  <si>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</si>
  <si>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</si>
  <si>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</si>
  <si>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</si>
  <si>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</si>
  <si>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</si>
  <si>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</si>
  <si>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</si>
  <si>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</si>
  <si>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</si>
  <si>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</si>
  <si>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</si>
  <si>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</si>
  <si>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</si>
  <si>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</si>
  <si>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</si>
  <si>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</si>
  <si>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</si>
  <si>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</si>
  <si>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</si>
  <si>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</si>
  <si>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</si>
  <si>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</si>
  <si>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</si>
  <si>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</si>
  <si>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</si>
  <si>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</si>
  <si>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</si>
  <si>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</si>
  <si>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</si>
  <si>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</si>
  <si>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</si>
  <si>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</si>
  <si>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</si>
  <si>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</si>
  <si>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</si>
  <si>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</si>
  <si>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</si>
  <si>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</si>
  <si>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</si>
  <si>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</si>
  <si>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</si>
  <si>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</si>
  <si>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</si>
  <si>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</si>
  <si>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</si>
  <si>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</si>
  <si>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</si>
  <si>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</si>
  <si>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</si>
  <si>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</si>
  <si>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</si>
  <si>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</si>
  <si>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</si>
  <si>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</si>
  <si>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</si>
  <si>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</si>
  <si>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</si>
  <si>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</si>
  <si>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</si>
  <si>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</si>
  <si>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</si>
  <si>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</si>
  <si>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</si>
  <si>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</si>
  <si>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</si>
  <si>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</si>
  <si>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</si>
  <si>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</si>
  <si>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</si>
  <si>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</si>
  <si>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</si>
  <si>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</si>
  <si>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</si>
  <si>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</si>
  <si>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</si>
  <si>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</si>
  <si>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</si>
  <si>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</si>
  <si>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</si>
  <si>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</si>
  <si>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</si>
  <si>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</si>
  <si>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</si>
  <si>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</si>
  <si>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</si>
  <si>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</si>
  <si>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</si>
  <si>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</si>
  <si>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</si>
  <si>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</si>
  <si>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</si>
  <si>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</si>
  <si>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</si>
  <si>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</si>
  <si>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</si>
  <si>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</si>
  <si>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</si>
  <si>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</si>
  <si>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</si>
  <si>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</si>
  <si>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</si>
  <si>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</si>
  <si>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</si>
  <si>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</si>
  <si>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</si>
  <si>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</si>
  <si>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</si>
  <si>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</si>
  <si>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</si>
  <si>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</si>
  <si>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</si>
  <si>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</si>
  <si>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</si>
  <si>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</si>
  <si>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</si>
  <si>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</si>
  <si>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</si>
  <si>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</si>
  <si>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</si>
  <si>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</si>
  <si>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</si>
  <si>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</si>
  <si>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</si>
  <si>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</si>
  <si>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</si>
  <si>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</si>
  <si>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</si>
  <si>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</si>
  <si>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Salário mínimo nacional</t>
  </si>
  <si>
    <t>Base de cálculo da Insalubridade</t>
  </si>
  <si>
    <t>Piso da categoria (1)</t>
  </si>
  <si>
    <t>Salário mínimo nacional (2)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</si>
  <si>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</si>
  <si>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</si>
  <si>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</si>
  <si>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</si>
  <si>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</si>
  <si>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</si>
  <si>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</si>
  <si>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</si>
  <si>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</si>
  <si>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</si>
  <si>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</si>
  <si>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</si>
  <si>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</si>
  <si>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</si>
  <si>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</si>
  <si>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</si>
  <si>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</si>
  <si>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</si>
  <si>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</si>
  <si>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</si>
  <si>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</si>
  <si>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</si>
  <si>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</si>
  <si>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</si>
  <si>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</si>
  <si>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</si>
  <si>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</si>
  <si>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</si>
  <si>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</si>
  <si>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</si>
  <si>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</si>
  <si>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</si>
  <si>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</si>
  <si>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</si>
  <si>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</si>
  <si>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</si>
  <si>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</si>
  <si>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</si>
  <si>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</si>
  <si>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</si>
  <si>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</si>
  <si>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</si>
  <si>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</si>
  <si>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</si>
  <si>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</si>
  <si>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</si>
  <si>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</si>
  <si>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</si>
  <si>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</si>
  <si>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Variação Emprego Absoluta de 01-09-2016 a 31-08-2017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</si>
  <si>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</si>
  <si>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</si>
  <si>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</si>
  <si>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</si>
  <si>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</si>
  <si>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</si>
  <si>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</si>
  <si>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</si>
  <si>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</si>
  <si>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</si>
  <si>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</si>
  <si>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</si>
  <si>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</si>
  <si>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</si>
  <si>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</si>
  <si>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</si>
  <si>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</si>
  <si>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</si>
  <si>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</si>
  <si>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</si>
  <si>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</si>
  <si>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</si>
  <si>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</si>
  <si>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</si>
  <si>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</si>
  <si>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</si>
  <si>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</si>
  <si>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 xml:space="preserve">3.1. Veículo Coletor </t>
  </si>
  <si>
    <t> 0,5363</t>
  </si>
  <si>
    <t>Estoque recuperado início do Período 01/09/2017</t>
  </si>
  <si>
    <t>Estoque recuperado final do Período 31-08-2018</t>
  </si>
  <si>
    <t>2 dias por semana a coleta ( 8horas dia)</t>
  </si>
  <si>
    <t xml:space="preserve">   </t>
  </si>
  <si>
    <t>3.1.7. Serviço de Transporte de Barca</t>
  </si>
  <si>
    <t>Custo de Transporte com Barca Caminhão Truck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</si>
</sst>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sz val="10"/>
      <color rgb="FF66666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49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5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39" xfId="3" applyFont="1" applyBorder="1" applyAlignment="1">
      <alignment vertical="center"/>
    </xf>
    <xf numFmtId="165" fontId="6" fillId="0" borderId="40" xfId="3" applyFont="1" applyBorder="1" applyAlignment="1">
      <alignment vertical="center"/>
    </xf>
    <xf numFmtId="165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51" xfId="0" applyFont="1" applyBorder="1"/>
    <xf numFmtId="0" fontId="18" fillId="0" borderId="48" xfId="0" applyFont="1" applyBorder="1"/>
    <xf numFmtId="0" fontId="18" fillId="0" borderId="52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9" fontId="7" fillId="0" borderId="48" xfId="0" applyNumberFormat="1" applyFont="1" applyBorder="1"/>
    <xf numFmtId="0" fontId="7" fillId="0" borderId="38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4" xfId="0" applyFont="1" applyBorder="1"/>
    <xf numFmtId="0" fontId="20" fillId="0" borderId="54" xfId="0" applyFont="1" applyBorder="1" applyAlignment="1">
      <alignment horizontal="justify"/>
    </xf>
    <xf numFmtId="0" fontId="20" fillId="0" borderId="55" xfId="0" applyFont="1" applyBorder="1" applyAlignment="1">
      <alignment horizontal="justify"/>
    </xf>
    <xf numFmtId="0" fontId="17" fillId="10" borderId="53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169" fontId="18" fillId="0" borderId="48" xfId="0" applyNumberFormat="1" applyFont="1" applyBorder="1"/>
    <xf numFmtId="169" fontId="7" fillId="0" borderId="48" xfId="0" applyNumberFormat="1" applyFont="1" applyBorder="1"/>
    <xf numFmtId="169" fontId="7" fillId="0" borderId="31" xfId="0" applyNumberFormat="1" applyFont="1" applyBorder="1"/>
    <xf numFmtId="0" fontId="3" fillId="0" borderId="56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165" fontId="3" fillId="0" borderId="56" xfId="3" applyFont="1" applyBorder="1" applyAlignment="1">
      <alignment horizontal="center" vertical="center"/>
    </xf>
    <xf numFmtId="165" fontId="3" fillId="0" borderId="56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Fill="1" applyBorder="1"/>
    <xf numFmtId="0" fontId="5" fillId="0" borderId="36" xfId="0" applyFont="1" applyBorder="1"/>
    <xf numFmtId="171" fontId="5" fillId="3" borderId="20" xfId="0" applyNumberFormat="1" applyFont="1" applyFill="1" applyBorder="1"/>
    <xf numFmtId="171" fontId="5" fillId="0" borderId="37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0" fontId="31" fillId="0" borderId="0" xfId="0" applyFont="1"/>
    <xf numFmtId="0" fontId="1" fillId="0" borderId="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3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Porcentagem" xfId="2" builtinId="5"/>
    <cellStyle name="Separador de milhares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2"/>
  <sheetViews>
    <sheetView tabSelected="1" view="pageBreakPreview" zoomScaleSheetLayoutView="100" workbookViewId="0">
      <selection activeCell="C264" sqref="C264"/>
    </sheetView>
  </sheetViews>
  <sheetFormatPr defaultRowHeight="12.75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>
      <c r="A1" s="11"/>
    </row>
    <row r="2" spans="1:7">
      <c r="A2" s="141"/>
    </row>
    <row r="3" spans="1:7" s="4" customFormat="1" ht="15.6" customHeight="1">
      <c r="A3" s="7"/>
      <c r="C3" s="140"/>
      <c r="D3" s="140"/>
      <c r="E3" s="140"/>
      <c r="F3" s="140"/>
      <c r="G3" s="6"/>
    </row>
    <row r="4" spans="1:7" s="4" customFormat="1" ht="15.6" customHeight="1">
      <c r="A4" s="141"/>
      <c r="B4" s="140"/>
      <c r="C4" s="140"/>
      <c r="D4" s="140"/>
      <c r="E4" s="140"/>
      <c r="F4" s="140"/>
      <c r="G4" s="6"/>
    </row>
    <row r="5" spans="1:7" s="4" customFormat="1" ht="15.6" customHeight="1">
      <c r="A5" s="139"/>
      <c r="B5" s="140"/>
      <c r="C5" s="140"/>
      <c r="D5" s="140"/>
      <c r="E5" s="140"/>
      <c r="F5" s="140"/>
      <c r="G5" s="6"/>
    </row>
    <row r="6" spans="1:7" s="4" customFormat="1" ht="15.6" customHeight="1">
      <c r="A6" s="139"/>
      <c r="B6" s="140"/>
      <c r="C6" s="140"/>
      <c r="D6" s="140"/>
      <c r="E6" s="140"/>
      <c r="F6" s="140"/>
      <c r="G6" s="6"/>
    </row>
    <row r="7" spans="1:7" s="4" customFormat="1" ht="16.5" customHeight="1" thickBot="1">
      <c r="A7" s="7"/>
      <c r="B7" s="5"/>
      <c r="C7" s="5"/>
      <c r="D7" s="6"/>
      <c r="E7" s="6"/>
      <c r="F7" s="6"/>
      <c r="G7" s="6"/>
    </row>
    <row r="8" spans="1:7" s="8" customFormat="1" ht="18">
      <c r="A8" s="317" t="s">
        <v>243</v>
      </c>
      <c r="B8" s="318"/>
      <c r="C8" s="318"/>
      <c r="D8" s="318"/>
      <c r="E8" s="318"/>
      <c r="F8" s="319"/>
      <c r="G8" s="36"/>
    </row>
    <row r="9" spans="1:7" s="8" customFormat="1" ht="21.75" customHeight="1">
      <c r="A9" s="320" t="s">
        <v>45</v>
      </c>
      <c r="B9" s="321"/>
      <c r="C9" s="321"/>
      <c r="D9" s="321"/>
      <c r="E9" s="321"/>
      <c r="F9" s="322"/>
      <c r="G9" s="36"/>
    </row>
    <row r="10" spans="1:7" s="4" customFormat="1" ht="10.9" customHeight="1" thickBot="1">
      <c r="A10" s="152"/>
      <c r="B10" s="153"/>
      <c r="C10" s="153"/>
      <c r="D10" s="154"/>
      <c r="E10" s="154"/>
      <c r="F10" s="155"/>
      <c r="G10" s="6"/>
    </row>
    <row r="11" spans="1:7" s="4" customFormat="1" ht="15.75" customHeight="1" thickBot="1">
      <c r="A11" s="326" t="s">
        <v>217</v>
      </c>
      <c r="B11" s="327"/>
      <c r="C11" s="327"/>
      <c r="D11" s="327"/>
      <c r="E11" s="327"/>
      <c r="F11" s="328"/>
      <c r="G11" s="6"/>
    </row>
    <row r="12" spans="1:7" s="4" customFormat="1" ht="15.75" customHeight="1">
      <c r="A12" s="64" t="s">
        <v>216</v>
      </c>
      <c r="B12" s="40"/>
      <c r="C12" s="40"/>
      <c r="D12" s="265"/>
      <c r="E12" s="116" t="s">
        <v>40</v>
      </c>
      <c r="F12" s="41" t="s">
        <v>2</v>
      </c>
      <c r="G12" s="6"/>
    </row>
    <row r="13" spans="1:7" s="11" customFormat="1" ht="15.75" customHeight="1">
      <c r="A13" s="126" t="str">
        <f>A50</f>
        <v>1. Mão-de-obra</v>
      </c>
      <c r="B13" s="127"/>
      <c r="C13" s="128"/>
      <c r="D13" s="128"/>
      <c r="E13" s="262">
        <f>+F140</f>
        <v>3761.9819727468002</v>
      </c>
      <c r="F13" s="129">
        <f>IFERROR(E13/$E$33,0)</f>
        <v>0.27984261639473978</v>
      </c>
      <c r="G13" s="44"/>
    </row>
    <row r="14" spans="1:7" s="4" customFormat="1" ht="15.75" customHeight="1">
      <c r="A14" s="49" t="str">
        <f>A52</f>
        <v>1.1. Coletor Turno Dia</v>
      </c>
      <c r="B14" s="45"/>
      <c r="C14" s="47"/>
      <c r="D14" s="47"/>
      <c r="E14" s="263">
        <f>F63</f>
        <v>2175.5819144505599</v>
      </c>
      <c r="F14" s="58">
        <f>IFERROR(E14/$E$33,0)</f>
        <v>0.16183504852799521</v>
      </c>
      <c r="G14" s="6"/>
    </row>
    <row r="15" spans="1:7" s="4" customFormat="1" ht="15.75" customHeight="1">
      <c r="A15" s="49" t="str">
        <f>A65</f>
        <v>1.2. Coletor Turno Noite</v>
      </c>
      <c r="B15" s="45"/>
      <c r="C15" s="47"/>
      <c r="D15" s="47" t="s">
        <v>320</v>
      </c>
      <c r="E15" s="263">
        <f>F82</f>
        <v>0</v>
      </c>
      <c r="F15" s="58">
        <f t="shared" ref="F15:F32" si="0">IFERROR(E15/$E$33,0)</f>
        <v>0</v>
      </c>
      <c r="G15" s="6"/>
    </row>
    <row r="16" spans="1:7" s="4" customFormat="1" ht="15.75" customHeight="1">
      <c r="A16" s="49" t="str">
        <f>A84</f>
        <v>1.3. Motorista Turno do Dia</v>
      </c>
      <c r="B16" s="45"/>
      <c r="C16" s="47"/>
      <c r="D16" s="47"/>
      <c r="E16" s="263">
        <f>F97</f>
        <v>1317.8430582962401</v>
      </c>
      <c r="F16" s="58">
        <f t="shared" si="0"/>
        <v>9.8030413782657089E-2</v>
      </c>
      <c r="G16" s="6"/>
    </row>
    <row r="17" spans="1:7" s="4" customFormat="1" ht="15.75" customHeight="1">
      <c r="A17" s="49" t="str">
        <f>A99</f>
        <v>1.4. Motorista Turno Noite</v>
      </c>
      <c r="B17" s="45"/>
      <c r="C17" s="47"/>
      <c r="D17" s="47"/>
      <c r="E17" s="263">
        <f>F118</f>
        <v>0</v>
      </c>
      <c r="F17" s="58">
        <f t="shared" si="0"/>
        <v>0</v>
      </c>
      <c r="G17" s="6"/>
    </row>
    <row r="18" spans="1:7" s="4" customFormat="1" ht="15.75" customHeight="1">
      <c r="A18" s="49" t="str">
        <f>A120</f>
        <v>1.5. Vale Transporte</v>
      </c>
      <c r="B18" s="45"/>
      <c r="C18" s="47"/>
      <c r="D18" s="47"/>
      <c r="E18" s="263">
        <f>F126</f>
        <v>-132.24300000000002</v>
      </c>
      <c r="F18" s="58">
        <f t="shared" si="0"/>
        <v>-9.8371622692462989E-3</v>
      </c>
      <c r="G18" s="6"/>
    </row>
    <row r="19" spans="1:7" s="4" customFormat="1" ht="15.75" customHeight="1">
      <c r="A19" s="49" t="str">
        <f>A128</f>
        <v>1.6. Vale-refeição (diário)</v>
      </c>
      <c r="B19" s="45"/>
      <c r="C19" s="47"/>
      <c r="D19" s="47"/>
      <c r="E19" s="263">
        <f>F132</f>
        <v>400.8</v>
      </c>
      <c r="F19" s="58">
        <f t="shared" si="0"/>
        <v>2.9814316353333755E-2</v>
      </c>
      <c r="G19" s="6"/>
    </row>
    <row r="20" spans="1:7" s="4" customFormat="1" ht="15.75" customHeight="1">
      <c r="A20" s="49" t="str">
        <f>A134</f>
        <v>1.7. Auxílio Alimentação (mensal)</v>
      </c>
      <c r="B20" s="45"/>
      <c r="C20" s="47"/>
      <c r="D20" s="47"/>
      <c r="E20" s="263">
        <f>F138</f>
        <v>0</v>
      </c>
      <c r="F20" s="58">
        <f t="shared" si="0"/>
        <v>0</v>
      </c>
      <c r="G20" s="6"/>
    </row>
    <row r="21" spans="1:7" s="11" customFormat="1" ht="15.75" customHeight="1">
      <c r="A21" s="315" t="str">
        <f>A142</f>
        <v>2. Uniformes e Equipamentos de Proteção Individual</v>
      </c>
      <c r="B21" s="316"/>
      <c r="C21" s="316"/>
      <c r="D21" s="128"/>
      <c r="E21" s="262">
        <f>+F174</f>
        <v>106.8075</v>
      </c>
      <c r="F21" s="129">
        <f t="shared" si="0"/>
        <v>7.9450913021674036E-3</v>
      </c>
      <c r="G21" s="44"/>
    </row>
    <row r="22" spans="1:7" s="11" customFormat="1" ht="15.75" customHeight="1">
      <c r="A22" s="137" t="str">
        <f>A176</f>
        <v>3. Veículos e Equipamentos</v>
      </c>
      <c r="B22" s="138"/>
      <c r="C22" s="128"/>
      <c r="D22" s="128"/>
      <c r="E22" s="262">
        <f>+F257</f>
        <v>6955.8304120100438</v>
      </c>
      <c r="F22" s="129">
        <f t="shared" si="0"/>
        <v>0.51742347406139555</v>
      </c>
      <c r="G22" s="44"/>
    </row>
    <row r="23" spans="1:7" s="4" customFormat="1" ht="15.75" customHeight="1">
      <c r="A23" s="65" t="str">
        <f>A178</f>
        <v xml:space="preserve">3.1. Veículo Coletor </v>
      </c>
      <c r="B23" s="46"/>
      <c r="C23" s="47"/>
      <c r="D23" s="47"/>
      <c r="E23" s="263">
        <f>SUM(E24:E29)</f>
        <v>6059.8304120100438</v>
      </c>
      <c r="F23" s="145">
        <f t="shared" si="0"/>
        <v>0.45077270696412242</v>
      </c>
      <c r="G23" s="6"/>
    </row>
    <row r="24" spans="1:7" s="4" customFormat="1" ht="15.75" customHeight="1">
      <c r="A24" s="65" t="str">
        <f>A180</f>
        <v>3.1.1. Depreciação</v>
      </c>
      <c r="B24" s="46"/>
      <c r="C24" s="47"/>
      <c r="D24" s="47"/>
      <c r="E24" s="263">
        <f>F194</f>
        <v>623.29228878000004</v>
      </c>
      <c r="F24" s="145">
        <f t="shared" si="0"/>
        <v>4.6364853987725496E-2</v>
      </c>
      <c r="G24" s="6"/>
    </row>
    <row r="25" spans="1:7" s="4" customFormat="1" ht="15.75" customHeight="1">
      <c r="A25" s="65" t="str">
        <f>A196</f>
        <v>3.1.2. Remuneração do Capital</v>
      </c>
      <c r="B25" s="46"/>
      <c r="C25" s="47"/>
      <c r="D25" s="47"/>
      <c r="E25" s="263">
        <f>F210</f>
        <v>313.1199017586149</v>
      </c>
      <c r="F25" s="145">
        <f t="shared" si="0"/>
        <v>2.3292055408074178E-2</v>
      </c>
      <c r="G25" s="6"/>
    </row>
    <row r="26" spans="1:7" s="4" customFormat="1" ht="15.75" customHeight="1">
      <c r="A26" s="65" t="str">
        <f>A212</f>
        <v>3.1.3. Impostos e Seguros</v>
      </c>
      <c r="B26" s="46"/>
      <c r="C26" s="47"/>
      <c r="D26" s="47"/>
      <c r="E26" s="263">
        <f>F218</f>
        <v>111.55853999999999</v>
      </c>
      <c r="F26" s="145">
        <f t="shared" si="0"/>
        <v>8.2985069947006922E-3</v>
      </c>
      <c r="G26" s="6"/>
    </row>
    <row r="27" spans="1:7" s="4" customFormat="1" ht="15.75" customHeight="1">
      <c r="A27" s="65" t="str">
        <f>A220</f>
        <v>3.1.4. Consumos</v>
      </c>
      <c r="B27" s="46"/>
      <c r="C27" s="47"/>
      <c r="D27" s="47"/>
      <c r="E27" s="263">
        <f>F236</f>
        <v>3416.4354814714284</v>
      </c>
      <c r="F27" s="145">
        <f t="shared" si="0"/>
        <v>0.25413844372590638</v>
      </c>
      <c r="G27" s="6"/>
    </row>
    <row r="28" spans="1:7" s="4" customFormat="1" ht="15.75" customHeight="1">
      <c r="A28" s="65" t="str">
        <f>A238</f>
        <v>3.1.5. Manutenção</v>
      </c>
      <c r="B28" s="46"/>
      <c r="C28" s="47"/>
      <c r="D28" s="47"/>
      <c r="E28" s="263">
        <f>F241</f>
        <v>1214.79</v>
      </c>
      <c r="F28" s="145">
        <f t="shared" si="0"/>
        <v>9.0364604198768239E-2</v>
      </c>
      <c r="G28" s="6"/>
    </row>
    <row r="29" spans="1:7" s="4" customFormat="1" ht="15.75" customHeight="1">
      <c r="A29" s="65" t="str">
        <f>A243</f>
        <v>3.1.6. Pneus</v>
      </c>
      <c r="B29" s="46"/>
      <c r="C29" s="47"/>
      <c r="D29" s="47"/>
      <c r="E29" s="263">
        <f>F250</f>
        <v>380.63419999999996</v>
      </c>
      <c r="F29" s="145">
        <f t="shared" si="0"/>
        <v>2.8314242648947378E-2</v>
      </c>
      <c r="G29" s="6"/>
    </row>
    <row r="30" spans="1:7" s="11" customFormat="1" ht="15.75" customHeight="1">
      <c r="A30" s="137" t="str">
        <f>A259</f>
        <v>4. Ferramentas e Materiais de Consumo</v>
      </c>
      <c r="B30" s="138"/>
      <c r="C30" s="128"/>
      <c r="D30" s="128"/>
      <c r="E30" s="262">
        <f>+F269</f>
        <v>73.666666666666657</v>
      </c>
      <c r="F30" s="129">
        <f t="shared" si="0"/>
        <v>5.4798435745897862E-3</v>
      </c>
      <c r="G30" s="44"/>
    </row>
    <row r="31" spans="1:7" s="11" customFormat="1" ht="15.75" customHeight="1">
      <c r="A31" s="137" t="str">
        <f>A271</f>
        <v>5. Monitoramento da Frota</v>
      </c>
      <c r="B31" s="138"/>
      <c r="C31" s="128"/>
      <c r="D31" s="128"/>
      <c r="E31" s="262">
        <f>+F280</f>
        <v>175.19459999999998</v>
      </c>
      <c r="F31" s="129">
        <f t="shared" si="0"/>
        <v>1.3032203662165082E-2</v>
      </c>
      <c r="G31" s="44"/>
    </row>
    <row r="32" spans="1:7" s="11" customFormat="1" ht="15.75" customHeight="1" thickBot="1">
      <c r="A32" s="137" t="str">
        <f>A284</f>
        <v>6. Benefícios e Despesas Indiretas - BDI</v>
      </c>
      <c r="B32" s="138"/>
      <c r="C32" s="128"/>
      <c r="D32" s="128"/>
      <c r="E32" s="264">
        <f>+F290</f>
        <v>2369.7249664046312</v>
      </c>
      <c r="F32" s="129">
        <f t="shared" si="0"/>
        <v>0.17627677100494232</v>
      </c>
      <c r="G32" s="44"/>
    </row>
    <row r="33" spans="1:7" s="4" customFormat="1" ht="15.75" customHeight="1" thickBot="1">
      <c r="A33" s="42" t="s">
        <v>264</v>
      </c>
      <c r="B33" s="43"/>
      <c r="C33" s="26"/>
      <c r="D33" s="26"/>
      <c r="E33" s="115">
        <f>E13+E21+E22+E30+E31+E32</f>
        <v>13443.206117828144</v>
      </c>
      <c r="F33" s="144">
        <f>F13+F21+F22+F30+F31+F32</f>
        <v>0.99999999999999989</v>
      </c>
      <c r="G33" s="6"/>
    </row>
    <row r="35" spans="1:7" ht="13.5" thickBot="1"/>
    <row r="36" spans="1:7" s="4" customFormat="1" ht="15" customHeight="1" thickBot="1">
      <c r="A36" s="326" t="s">
        <v>103</v>
      </c>
      <c r="B36" s="327"/>
      <c r="C36" s="327"/>
      <c r="D36" s="327"/>
      <c r="E36" s="328"/>
      <c r="F36" s="10"/>
      <c r="G36" s="6"/>
    </row>
    <row r="37" spans="1:7" s="4" customFormat="1" ht="15" customHeight="1" thickBot="1">
      <c r="A37" s="323" t="s">
        <v>41</v>
      </c>
      <c r="B37" s="324"/>
      <c r="C37" s="324"/>
      <c r="D37" s="325"/>
      <c r="E37" s="48" t="s">
        <v>42</v>
      </c>
      <c r="F37" s="10"/>
      <c r="G37" s="6"/>
    </row>
    <row r="38" spans="1:7" s="4" customFormat="1" ht="15" customHeight="1">
      <c r="A38" s="73" t="str">
        <f>+A52</f>
        <v>1.1. Coletor Turno Dia</v>
      </c>
      <c r="B38" s="74"/>
      <c r="C38" s="74"/>
      <c r="D38" s="75"/>
      <c r="E38" s="76">
        <f>C62</f>
        <v>2</v>
      </c>
      <c r="F38" s="10"/>
      <c r="G38" s="6"/>
    </row>
    <row r="39" spans="1:7" s="4" customFormat="1" ht="15" customHeight="1">
      <c r="A39" s="67" t="str">
        <f>+A65</f>
        <v>1.2. Coletor Turno Noite</v>
      </c>
      <c r="B39" s="66"/>
      <c r="C39" s="66"/>
      <c r="D39" s="77"/>
      <c r="E39" s="70">
        <f>C81</f>
        <v>0</v>
      </c>
      <c r="F39" s="10"/>
      <c r="G39" s="6"/>
    </row>
    <row r="40" spans="1:7" s="4" customFormat="1" ht="15" customHeight="1">
      <c r="A40" s="67" t="str">
        <f>+A84</f>
        <v>1.3. Motorista Turno do Dia</v>
      </c>
      <c r="B40" s="66"/>
      <c r="C40" s="66"/>
      <c r="D40" s="77"/>
      <c r="E40" s="70">
        <f>C96</f>
        <v>1</v>
      </c>
      <c r="F40" s="10"/>
      <c r="G40" s="6"/>
    </row>
    <row r="41" spans="1:7" s="4" customFormat="1" ht="15" customHeight="1">
      <c r="A41" s="67" t="str">
        <f>+A99</f>
        <v>1.4. Motorista Turno Noite</v>
      </c>
      <c r="B41" s="66"/>
      <c r="C41" s="66"/>
      <c r="D41" s="77"/>
      <c r="E41" s="70">
        <f>C117</f>
        <v>0</v>
      </c>
      <c r="F41" s="10"/>
      <c r="G41" s="6"/>
    </row>
    <row r="42" spans="1:7" s="4" customFormat="1" ht="15" customHeight="1" thickBot="1">
      <c r="A42" s="71" t="s">
        <v>61</v>
      </c>
      <c r="B42" s="72"/>
      <c r="C42" s="72"/>
      <c r="D42" s="78"/>
      <c r="E42" s="79">
        <f>SUM(E38:E41)</f>
        <v>3</v>
      </c>
      <c r="F42" s="10"/>
      <c r="G42" s="6"/>
    </row>
    <row r="43" spans="1:7" s="4" customFormat="1" ht="15" customHeight="1" thickBot="1">
      <c r="A43" s="130"/>
      <c r="B43" s="131"/>
      <c r="C43" s="59"/>
      <c r="D43" s="59"/>
      <c r="E43" s="132"/>
      <c r="F43" s="10"/>
      <c r="G43" s="6"/>
    </row>
    <row r="44" spans="1:7" s="4" customFormat="1" ht="15" customHeight="1">
      <c r="A44" s="313" t="s">
        <v>58</v>
      </c>
      <c r="B44" s="314"/>
      <c r="C44" s="314"/>
      <c r="D44" s="314"/>
      <c r="E44" s="48" t="s">
        <v>42</v>
      </c>
      <c r="F44" s="9"/>
      <c r="G44" s="6"/>
    </row>
    <row r="45" spans="1:7" s="4" customFormat="1" ht="15" customHeight="1" thickBot="1">
      <c r="A45" s="133" t="str">
        <f>+A178</f>
        <v xml:space="preserve">3.1. Veículo Coletor </v>
      </c>
      <c r="B45" s="134"/>
      <c r="C45" s="134"/>
      <c r="D45" s="135"/>
      <c r="E45" s="136">
        <f>C193</f>
        <v>1</v>
      </c>
      <c r="F45" s="9"/>
      <c r="G45" s="6"/>
    </row>
    <row r="46" spans="1:7" s="4" customFormat="1" ht="15" customHeight="1">
      <c r="A46" s="59"/>
      <c r="B46" s="59"/>
      <c r="C46" s="59"/>
      <c r="D46" s="54"/>
      <c r="E46" s="255"/>
      <c r="F46" s="9"/>
      <c r="G46" s="6"/>
    </row>
    <row r="47" spans="1:7" s="4" customFormat="1" ht="13.5" thickBot="1">
      <c r="A47" s="59"/>
      <c r="B47" s="59"/>
      <c r="C47" s="59"/>
      <c r="D47" s="54"/>
      <c r="E47" s="68"/>
      <c r="F47" s="9"/>
      <c r="G47" s="6"/>
    </row>
    <row r="48" spans="1:7" s="11" customFormat="1" ht="15.75" customHeight="1" thickBot="1">
      <c r="A48" s="266" t="s">
        <v>211</v>
      </c>
      <c r="B48" s="267">
        <v>0.36359999999999998</v>
      </c>
      <c r="C48" s="35" t="s">
        <v>319</v>
      </c>
      <c r="D48" s="34"/>
      <c r="E48" s="157"/>
      <c r="G48" s="44"/>
    </row>
    <row r="49" spans="1:7" s="4" customFormat="1" ht="15.75" customHeight="1">
      <c r="A49" s="59"/>
      <c r="B49" s="59"/>
      <c r="C49" s="59"/>
      <c r="D49" s="54"/>
      <c r="E49" s="68"/>
      <c r="F49" s="9"/>
      <c r="G49" s="6"/>
    </row>
    <row r="50" spans="1:7" ht="13.15" customHeight="1">
      <c r="A50" s="11" t="s">
        <v>49</v>
      </c>
    </row>
    <row r="51" spans="1:7" ht="11.25" customHeight="1"/>
    <row r="52" spans="1:7" ht="13.9" customHeight="1" thickBot="1">
      <c r="A52" s="9" t="s">
        <v>106</v>
      </c>
    </row>
    <row r="53" spans="1:7" ht="13.9" customHeight="1" thickBot="1">
      <c r="A53" s="60" t="s">
        <v>66</v>
      </c>
      <c r="B53" s="61" t="s">
        <v>67</v>
      </c>
      <c r="C53" s="61" t="s">
        <v>42</v>
      </c>
      <c r="D53" s="62" t="s">
        <v>260</v>
      </c>
      <c r="E53" s="62" t="s">
        <v>68</v>
      </c>
      <c r="F53" s="63" t="s">
        <v>69</v>
      </c>
    </row>
    <row r="54" spans="1:7" ht="13.15" customHeight="1">
      <c r="A54" s="13" t="s">
        <v>233</v>
      </c>
      <c r="B54" s="14" t="s">
        <v>8</v>
      </c>
      <c r="C54" s="14">
        <v>1</v>
      </c>
      <c r="D54" s="87">
        <v>1221.8800000000001</v>
      </c>
      <c r="E54" s="15">
        <f>C54*D54</f>
        <v>1221.8800000000001</v>
      </c>
    </row>
    <row r="55" spans="1:7">
      <c r="A55" s="16" t="s">
        <v>36</v>
      </c>
      <c r="B55" s="17" t="s">
        <v>0</v>
      </c>
      <c r="C55" s="88">
        <v>0</v>
      </c>
      <c r="D55" s="18">
        <f>D54/220*2</f>
        <v>11.108000000000001</v>
      </c>
      <c r="E55" s="18">
        <f>C55*D55</f>
        <v>0</v>
      </c>
      <c r="G55" s="10" t="s">
        <v>276</v>
      </c>
    </row>
    <row r="56" spans="1:7" ht="13.15" customHeight="1">
      <c r="A56" s="16" t="s">
        <v>37</v>
      </c>
      <c r="B56" s="17" t="s">
        <v>0</v>
      </c>
      <c r="C56" s="88">
        <v>0</v>
      </c>
      <c r="D56" s="18">
        <f>D54/220*1.5</f>
        <v>8.3309999999999995</v>
      </c>
      <c r="E56" s="18">
        <f>C56*D56</f>
        <v>0</v>
      </c>
      <c r="G56" s="10" t="s">
        <v>278</v>
      </c>
    </row>
    <row r="57" spans="1:7" ht="13.15" customHeight="1">
      <c r="A57" s="16" t="s">
        <v>240</v>
      </c>
      <c r="B57" s="17" t="s">
        <v>35</v>
      </c>
      <c r="D57" s="18">
        <f>63/302*(SUM(E55:E56))</f>
        <v>0</v>
      </c>
      <c r="E57" s="18">
        <f>D57</f>
        <v>0</v>
      </c>
      <c r="G57" s="10" t="s">
        <v>239</v>
      </c>
    </row>
    <row r="58" spans="1:7">
      <c r="A58" s="16" t="s">
        <v>1</v>
      </c>
      <c r="B58" s="17" t="s">
        <v>2</v>
      </c>
      <c r="C58" s="17">
        <v>40</v>
      </c>
      <c r="D58" s="83">
        <f>SUM(E54:E57)</f>
        <v>1221.8800000000001</v>
      </c>
      <c r="E58" s="18">
        <f>C58*D58/100</f>
        <v>488.75200000000007</v>
      </c>
    </row>
    <row r="59" spans="1:7">
      <c r="A59" s="117" t="s">
        <v>3</v>
      </c>
      <c r="B59" s="118"/>
      <c r="C59" s="118"/>
      <c r="D59" s="119"/>
      <c r="E59" s="120">
        <f>SUM(E54:E58)</f>
        <v>1710.6320000000001</v>
      </c>
    </row>
    <row r="60" spans="1:7">
      <c r="A60" s="16" t="s">
        <v>4</v>
      </c>
      <c r="B60" s="17" t="s">
        <v>2</v>
      </c>
      <c r="C60" s="142">
        <f>'2.Encargos Sociais'!$C$34*100</f>
        <v>74.890000000000015</v>
      </c>
      <c r="D60" s="18">
        <f>E59</f>
        <v>1710.6320000000001</v>
      </c>
      <c r="E60" s="18">
        <f>D60*C60/100</f>
        <v>1281.0923048000002</v>
      </c>
    </row>
    <row r="61" spans="1:7">
      <c r="A61" s="117" t="s">
        <v>76</v>
      </c>
      <c r="B61" s="118"/>
      <c r="C61" s="118"/>
      <c r="D61" s="119"/>
      <c r="E61" s="120">
        <f>E59+E60</f>
        <v>2991.7243048</v>
      </c>
    </row>
    <row r="62" spans="1:7" ht="13.5" thickBot="1">
      <c r="A62" s="16" t="s">
        <v>5</v>
      </c>
      <c r="B62" s="17" t="s">
        <v>6</v>
      </c>
      <c r="C62" s="86">
        <v>2</v>
      </c>
      <c r="D62" s="18">
        <f>E61</f>
        <v>2991.7243048</v>
      </c>
      <c r="E62" s="18">
        <f>C62*D62</f>
        <v>5983.4486096000001</v>
      </c>
      <c r="G62" s="6"/>
    </row>
    <row r="63" spans="1:7" ht="13.9" customHeight="1" thickBot="1">
      <c r="D63" s="124" t="s">
        <v>210</v>
      </c>
      <c r="E63" s="50">
        <f>$B$48</f>
        <v>0.36359999999999998</v>
      </c>
      <c r="F63" s="125">
        <f>E62*E63</f>
        <v>2175.5819144505599</v>
      </c>
      <c r="G63" s="6"/>
    </row>
    <row r="64" spans="1:7" ht="11.25" customHeight="1"/>
    <row r="65" spans="1:7" ht="13.5" thickBot="1">
      <c r="A65" s="9" t="s">
        <v>95</v>
      </c>
    </row>
    <row r="66" spans="1:7" ht="13.5" thickBot="1">
      <c r="A66" s="60" t="s">
        <v>66</v>
      </c>
      <c r="B66" s="61" t="s">
        <v>67</v>
      </c>
      <c r="C66" s="61" t="s">
        <v>42</v>
      </c>
      <c r="D66" s="62" t="s">
        <v>260</v>
      </c>
      <c r="E66" s="62" t="s">
        <v>68</v>
      </c>
      <c r="F66" s="63" t="s">
        <v>69</v>
      </c>
    </row>
    <row r="67" spans="1:7">
      <c r="A67" s="13" t="s">
        <v>233</v>
      </c>
      <c r="B67" s="14" t="s">
        <v>8</v>
      </c>
      <c r="C67" s="14">
        <v>1</v>
      </c>
      <c r="D67" s="15">
        <f>D54</f>
        <v>1221.8800000000001</v>
      </c>
      <c r="E67" s="15">
        <f>C67*D67</f>
        <v>1221.8800000000001</v>
      </c>
    </row>
    <row r="68" spans="1:7">
      <c r="A68" s="16" t="s">
        <v>7</v>
      </c>
      <c r="B68" s="17" t="s">
        <v>104</v>
      </c>
      <c r="C68" s="88"/>
      <c r="D68" s="18"/>
      <c r="E68" s="18"/>
    </row>
    <row r="69" spans="1:7">
      <c r="A69" s="16"/>
      <c r="B69" s="17" t="s">
        <v>109</v>
      </c>
      <c r="C69" s="121">
        <f>C68*8/7</f>
        <v>0</v>
      </c>
      <c r="D69" s="18">
        <f>D67/220*0.2</f>
        <v>1.1108</v>
      </c>
      <c r="E69" s="18">
        <f>C68*D69</f>
        <v>0</v>
      </c>
    </row>
    <row r="70" spans="1:7">
      <c r="A70" s="16" t="s">
        <v>36</v>
      </c>
      <c r="B70" s="17" t="s">
        <v>0</v>
      </c>
      <c r="C70" s="88"/>
      <c r="D70" s="18">
        <f>D67/220*2</f>
        <v>11.108000000000001</v>
      </c>
      <c r="E70" s="18">
        <f>C70*D70</f>
        <v>0</v>
      </c>
      <c r="G70" s="10" t="s">
        <v>276</v>
      </c>
    </row>
    <row r="71" spans="1:7">
      <c r="A71" s="16" t="s">
        <v>105</v>
      </c>
      <c r="B71" s="17" t="s">
        <v>104</v>
      </c>
      <c r="C71" s="88"/>
      <c r="D71" s="18"/>
      <c r="E71" s="18"/>
      <c r="G71" s="10" t="s">
        <v>277</v>
      </c>
    </row>
    <row r="72" spans="1:7">
      <c r="A72" s="16"/>
      <c r="B72" s="17" t="s">
        <v>109</v>
      </c>
      <c r="C72" s="121">
        <f>C71*8/7</f>
        <v>0</v>
      </c>
      <c r="D72" s="18">
        <f>D67/220*2*1.2</f>
        <v>13.329600000000001</v>
      </c>
      <c r="E72" s="18">
        <f>C72*D72</f>
        <v>0</v>
      </c>
      <c r="G72" s="10" t="s">
        <v>277</v>
      </c>
    </row>
    <row r="73" spans="1:7">
      <c r="A73" s="16" t="s">
        <v>37</v>
      </c>
      <c r="B73" s="17" t="s">
        <v>0</v>
      </c>
      <c r="C73" s="88"/>
      <c r="D73" s="18">
        <f>D67/220*1.5</f>
        <v>8.3309999999999995</v>
      </c>
      <c r="E73" s="18">
        <f>C73*D73</f>
        <v>0</v>
      </c>
      <c r="G73" s="10" t="s">
        <v>278</v>
      </c>
    </row>
    <row r="74" spans="1:7">
      <c r="A74" s="16" t="s">
        <v>238</v>
      </c>
      <c r="B74" s="17" t="s">
        <v>104</v>
      </c>
      <c r="C74" s="88"/>
      <c r="D74" s="18"/>
      <c r="E74" s="18"/>
      <c r="G74" s="10" t="s">
        <v>279</v>
      </c>
    </row>
    <row r="75" spans="1:7">
      <c r="A75" s="16"/>
      <c r="B75" s="17" t="s">
        <v>109</v>
      </c>
      <c r="C75" s="18">
        <f>C74*8/7</f>
        <v>0</v>
      </c>
      <c r="D75" s="18">
        <f>D67/220*1.5*1.2</f>
        <v>9.9971999999999994</v>
      </c>
      <c r="E75" s="18">
        <f>C75*D75</f>
        <v>0</v>
      </c>
      <c r="G75" s="10" t="s">
        <v>279</v>
      </c>
    </row>
    <row r="76" spans="1:7" ht="13.15" customHeight="1">
      <c r="A76" s="16" t="s">
        <v>240</v>
      </c>
      <c r="B76" s="17" t="s">
        <v>35</v>
      </c>
      <c r="D76" s="18">
        <f>63/302*(SUM(E70:E75))</f>
        <v>0</v>
      </c>
      <c r="E76" s="18">
        <f>D76</f>
        <v>0</v>
      </c>
      <c r="G76" s="10" t="s">
        <v>239</v>
      </c>
    </row>
    <row r="77" spans="1:7">
      <c r="A77" s="16" t="s">
        <v>1</v>
      </c>
      <c r="B77" s="17" t="s">
        <v>2</v>
      </c>
      <c r="C77" s="17">
        <f>+C58</f>
        <v>40</v>
      </c>
      <c r="D77" s="83">
        <f>SUM(E67:E76)</f>
        <v>1221.8800000000001</v>
      </c>
      <c r="E77" s="18">
        <f>C77*D77/100</f>
        <v>488.75200000000007</v>
      </c>
    </row>
    <row r="78" spans="1:7">
      <c r="A78" s="117" t="s">
        <v>3</v>
      </c>
      <c r="B78" s="118"/>
      <c r="C78" s="118"/>
      <c r="D78" s="119"/>
      <c r="E78" s="120">
        <f>SUM(E67:E77)</f>
        <v>1710.6320000000001</v>
      </c>
    </row>
    <row r="79" spans="1:7">
      <c r="A79" s="16" t="s">
        <v>4</v>
      </c>
      <c r="B79" s="17" t="s">
        <v>2</v>
      </c>
      <c r="C79" s="142">
        <f>'2.Encargos Sociais'!$C$34*100</f>
        <v>74.890000000000015</v>
      </c>
      <c r="D79" s="18">
        <f>E78</f>
        <v>1710.6320000000001</v>
      </c>
      <c r="E79" s="18">
        <f>D79*C79/100</f>
        <v>1281.0923048000002</v>
      </c>
    </row>
    <row r="80" spans="1:7">
      <c r="A80" s="117" t="s">
        <v>76</v>
      </c>
      <c r="B80" s="118"/>
      <c r="C80" s="118"/>
      <c r="D80" s="119"/>
      <c r="E80" s="120">
        <f>E78+E79</f>
        <v>2991.7243048</v>
      </c>
    </row>
    <row r="81" spans="1:7" ht="13.5" thickBot="1">
      <c r="A81" s="16" t="s">
        <v>5</v>
      </c>
      <c r="B81" s="17" t="s">
        <v>6</v>
      </c>
      <c r="C81" s="86"/>
      <c r="D81" s="18">
        <f>E80</f>
        <v>2991.7243048</v>
      </c>
      <c r="E81" s="18">
        <f>C81*D81</f>
        <v>0</v>
      </c>
    </row>
    <row r="82" spans="1:7" ht="13.5" thickBot="1">
      <c r="D82" s="124" t="s">
        <v>210</v>
      </c>
      <c r="E82" s="50">
        <f>$B$48</f>
        <v>0.36359999999999998</v>
      </c>
      <c r="F82" s="125">
        <f>E81*E82</f>
        <v>0</v>
      </c>
    </row>
    <row r="83" spans="1:7" ht="11.25" customHeight="1"/>
    <row r="84" spans="1:7" ht="13.5" thickBot="1">
      <c r="A84" s="9" t="s">
        <v>107</v>
      </c>
    </row>
    <row r="85" spans="1:7" s="12" customFormat="1" ht="13.15" customHeight="1" thickBot="1">
      <c r="A85" s="60" t="s">
        <v>66</v>
      </c>
      <c r="B85" s="61" t="s">
        <v>67</v>
      </c>
      <c r="C85" s="61" t="s">
        <v>42</v>
      </c>
      <c r="D85" s="62" t="s">
        <v>260</v>
      </c>
      <c r="E85" s="62" t="s">
        <v>68</v>
      </c>
      <c r="F85" s="63" t="s">
        <v>69</v>
      </c>
      <c r="G85" s="10"/>
    </row>
    <row r="86" spans="1:7">
      <c r="A86" s="13" t="s">
        <v>236</v>
      </c>
      <c r="B86" s="14" t="s">
        <v>8</v>
      </c>
      <c r="C86" s="14">
        <v>1</v>
      </c>
      <c r="D86" s="87">
        <v>1480.29</v>
      </c>
      <c r="E86" s="15">
        <f>C86*D86</f>
        <v>1480.29</v>
      </c>
    </row>
    <row r="87" spans="1:7">
      <c r="A87" s="13" t="s">
        <v>237</v>
      </c>
      <c r="B87" s="14" t="s">
        <v>8</v>
      </c>
      <c r="C87" s="14">
        <v>1</v>
      </c>
      <c r="D87" s="87">
        <v>954</v>
      </c>
      <c r="E87" s="15"/>
    </row>
    <row r="88" spans="1:7">
      <c r="A88" s="16" t="s">
        <v>36</v>
      </c>
      <c r="B88" s="17" t="s">
        <v>0</v>
      </c>
      <c r="C88" s="88">
        <v>0</v>
      </c>
      <c r="D88" s="18">
        <f>D86/220*2</f>
        <v>13.457181818181818</v>
      </c>
      <c r="E88" s="18">
        <f>C88*D88</f>
        <v>0</v>
      </c>
      <c r="G88" s="10" t="s">
        <v>276</v>
      </c>
    </row>
    <row r="89" spans="1:7">
      <c r="A89" s="16" t="s">
        <v>37</v>
      </c>
      <c r="B89" s="17" t="s">
        <v>0</v>
      </c>
      <c r="C89" s="88">
        <v>0</v>
      </c>
      <c r="D89" s="18">
        <f>D86/220*1.5</f>
        <v>10.092886363636364</v>
      </c>
      <c r="E89" s="18">
        <f>C89*D89</f>
        <v>0</v>
      </c>
      <c r="G89" s="10" t="s">
        <v>278</v>
      </c>
    </row>
    <row r="90" spans="1:7" ht="13.15" customHeight="1">
      <c r="A90" s="16" t="s">
        <v>240</v>
      </c>
      <c r="B90" s="17" t="s">
        <v>35</v>
      </c>
      <c r="D90" s="18">
        <f>63/302*(SUM(E88:E89))</f>
        <v>0</v>
      </c>
      <c r="E90" s="18">
        <f>D90</f>
        <v>0</v>
      </c>
      <c r="G90" s="10" t="s">
        <v>239</v>
      </c>
    </row>
    <row r="91" spans="1:7">
      <c r="A91" s="16" t="s">
        <v>235</v>
      </c>
      <c r="B91" s="17"/>
      <c r="C91" s="90">
        <v>2</v>
      </c>
      <c r="D91" s="18"/>
      <c r="E91" s="18"/>
    </row>
    <row r="92" spans="1:7">
      <c r="A92" s="16" t="s">
        <v>1</v>
      </c>
      <c r="B92" s="17" t="s">
        <v>2</v>
      </c>
      <c r="C92" s="86">
        <v>40</v>
      </c>
      <c r="D92" s="83">
        <f>IF(C91=2,SUM(E86:E90),IF(C91=1,(SUM(E86:E90))*D87/D86,0))</f>
        <v>1480.29</v>
      </c>
      <c r="E92" s="18">
        <f>C92*D92/100</f>
        <v>592.11599999999999</v>
      </c>
    </row>
    <row r="93" spans="1:7" s="11" customFormat="1">
      <c r="A93" s="103" t="s">
        <v>3</v>
      </c>
      <c r="B93" s="118"/>
      <c r="C93" s="118"/>
      <c r="D93" s="119"/>
      <c r="E93" s="105">
        <f>SUM(E86:E92)</f>
        <v>2072.4059999999999</v>
      </c>
      <c r="F93" s="44"/>
      <c r="G93" s="44"/>
    </row>
    <row r="94" spans="1:7">
      <c r="A94" s="16" t="s">
        <v>4</v>
      </c>
      <c r="B94" s="17" t="s">
        <v>2</v>
      </c>
      <c r="C94" s="142">
        <f>'2.Encargos Sociais'!$C$34*100</f>
        <v>74.890000000000015</v>
      </c>
      <c r="D94" s="18">
        <f>E93</f>
        <v>2072.4059999999999</v>
      </c>
      <c r="E94" s="18">
        <f>D94*C94/100</f>
        <v>1552.0248534000002</v>
      </c>
    </row>
    <row r="95" spans="1:7" s="11" customFormat="1">
      <c r="A95" s="103" t="s">
        <v>280</v>
      </c>
      <c r="B95" s="273"/>
      <c r="C95" s="273"/>
      <c r="D95" s="274"/>
      <c r="E95" s="105">
        <f>E93+E94</f>
        <v>3624.4308534000002</v>
      </c>
      <c r="F95" s="44"/>
      <c r="G95" s="44"/>
    </row>
    <row r="96" spans="1:7" ht="13.5" thickBot="1">
      <c r="A96" s="16" t="s">
        <v>5</v>
      </c>
      <c r="B96" s="17" t="s">
        <v>6</v>
      </c>
      <c r="C96" s="86">
        <v>1</v>
      </c>
      <c r="D96" s="18">
        <f>E95</f>
        <v>3624.4308534000002</v>
      </c>
      <c r="E96" s="18">
        <f>C96*D96</f>
        <v>3624.4308534000002</v>
      </c>
    </row>
    <row r="97" spans="1:7" ht="13.5" thickBot="1">
      <c r="D97" s="124" t="s">
        <v>210</v>
      </c>
      <c r="E97" s="50">
        <f>$B$48</f>
        <v>0.36359999999999998</v>
      </c>
      <c r="F97" s="125">
        <f>E96*E97</f>
        <v>1317.8430582962401</v>
      </c>
    </row>
    <row r="98" spans="1:7" ht="11.25" customHeight="1"/>
    <row r="99" spans="1:7" ht="13.5" hidden="1" thickBot="1">
      <c r="A99" s="9" t="s">
        <v>108</v>
      </c>
    </row>
    <row r="100" spans="1:7" ht="13.5" hidden="1" thickBot="1">
      <c r="A100" s="60" t="s">
        <v>66</v>
      </c>
      <c r="B100" s="61" t="s">
        <v>67</v>
      </c>
      <c r="C100" s="61" t="s">
        <v>42</v>
      </c>
      <c r="D100" s="62" t="s">
        <v>260</v>
      </c>
      <c r="E100" s="62" t="s">
        <v>68</v>
      </c>
      <c r="F100" s="63" t="s">
        <v>69</v>
      </c>
    </row>
    <row r="101" spans="1:7" hidden="1">
      <c r="A101" s="13" t="s">
        <v>233</v>
      </c>
      <c r="B101" s="14" t="s">
        <v>8</v>
      </c>
      <c r="C101" s="14">
        <v>1</v>
      </c>
      <c r="D101" s="15">
        <f>D86</f>
        <v>1480.29</v>
      </c>
      <c r="E101" s="15">
        <f>C101*D101</f>
        <v>1480.29</v>
      </c>
    </row>
    <row r="102" spans="1:7" hidden="1">
      <c r="A102" s="13" t="s">
        <v>234</v>
      </c>
      <c r="B102" s="14" t="s">
        <v>8</v>
      </c>
      <c r="C102" s="14">
        <v>1</v>
      </c>
      <c r="D102" s="18">
        <f>D87</f>
        <v>954</v>
      </c>
      <c r="E102" s="18"/>
    </row>
    <row r="103" spans="1:7" hidden="1">
      <c r="A103" s="16" t="s">
        <v>7</v>
      </c>
      <c r="B103" s="17" t="s">
        <v>104</v>
      </c>
      <c r="C103" s="88"/>
      <c r="D103" s="16"/>
      <c r="E103" s="16"/>
    </row>
    <row r="104" spans="1:7" hidden="1">
      <c r="A104" s="16"/>
      <c r="B104" s="17" t="s">
        <v>109</v>
      </c>
      <c r="C104" s="18">
        <f>C103*8/7</f>
        <v>0</v>
      </c>
      <c r="D104" s="18">
        <f>D101/220*0.2</f>
        <v>1.3457181818181818</v>
      </c>
      <c r="E104" s="18">
        <f>C103*D104</f>
        <v>0</v>
      </c>
    </row>
    <row r="105" spans="1:7" hidden="1">
      <c r="A105" s="16" t="s">
        <v>36</v>
      </c>
      <c r="B105" s="17" t="s">
        <v>0</v>
      </c>
      <c r="C105" s="88"/>
      <c r="D105" s="18">
        <f>D101/220*2</f>
        <v>13.457181818181818</v>
      </c>
      <c r="E105" s="18">
        <f>C105*D105</f>
        <v>0</v>
      </c>
      <c r="G105" s="10" t="s">
        <v>276</v>
      </c>
    </row>
    <row r="106" spans="1:7" hidden="1">
      <c r="A106" s="16" t="s">
        <v>105</v>
      </c>
      <c r="B106" s="17" t="s">
        <v>104</v>
      </c>
      <c r="C106" s="88"/>
      <c r="D106" s="18"/>
      <c r="E106" s="18"/>
      <c r="G106" s="10" t="s">
        <v>277</v>
      </c>
    </row>
    <row r="107" spans="1:7" hidden="1">
      <c r="A107" s="16"/>
      <c r="B107" s="17" t="s">
        <v>109</v>
      </c>
      <c r="C107" s="18">
        <f>C106*8/7</f>
        <v>0</v>
      </c>
      <c r="D107" s="18">
        <f>D101/220*2*1.2</f>
        <v>16.148618181818179</v>
      </c>
      <c r="E107" s="18">
        <f>C107*D107</f>
        <v>0</v>
      </c>
      <c r="G107" s="10" t="s">
        <v>277</v>
      </c>
    </row>
    <row r="108" spans="1:7" hidden="1">
      <c r="A108" s="16" t="s">
        <v>37</v>
      </c>
      <c r="B108" s="17" t="s">
        <v>0</v>
      </c>
      <c r="C108" s="88"/>
      <c r="D108" s="18">
        <f>D101/220*1.5</f>
        <v>10.092886363636364</v>
      </c>
      <c r="E108" s="18">
        <f>C108*D108</f>
        <v>0</v>
      </c>
      <c r="G108" s="10" t="s">
        <v>278</v>
      </c>
    </row>
    <row r="109" spans="1:7" hidden="1">
      <c r="A109" s="16" t="s">
        <v>238</v>
      </c>
      <c r="B109" s="17" t="s">
        <v>104</v>
      </c>
      <c r="C109" s="88"/>
      <c r="D109" s="18"/>
      <c r="E109" s="18"/>
      <c r="G109" s="10" t="s">
        <v>279</v>
      </c>
    </row>
    <row r="110" spans="1:7" hidden="1">
      <c r="A110" s="16"/>
      <c r="B110" s="17" t="s">
        <v>109</v>
      </c>
      <c r="C110" s="18">
        <f>C109*8/7</f>
        <v>0</v>
      </c>
      <c r="D110" s="18">
        <f>D101/220*1.5*1.2</f>
        <v>12.111463636363636</v>
      </c>
      <c r="E110" s="18">
        <f>C110*D110</f>
        <v>0</v>
      </c>
      <c r="G110" s="10" t="s">
        <v>279</v>
      </c>
    </row>
    <row r="111" spans="1:7" ht="13.15" hidden="1" customHeight="1">
      <c r="A111" s="16" t="s">
        <v>240</v>
      </c>
      <c r="B111" s="17" t="s">
        <v>35</v>
      </c>
      <c r="D111" s="18">
        <f>63/302*(SUM(E105:E110))</f>
        <v>0</v>
      </c>
      <c r="E111" s="18">
        <f>D111</f>
        <v>0</v>
      </c>
      <c r="G111" s="10" t="s">
        <v>239</v>
      </c>
    </row>
    <row r="112" spans="1:7" hidden="1">
      <c r="A112" s="16" t="s">
        <v>235</v>
      </c>
      <c r="B112" s="17"/>
      <c r="C112" s="90"/>
      <c r="D112" s="18"/>
      <c r="E112" s="18"/>
    </row>
    <row r="113" spans="1:7" hidden="1">
      <c r="A113" s="16" t="s">
        <v>1</v>
      </c>
      <c r="B113" s="17" t="s">
        <v>2</v>
      </c>
      <c r="C113" s="83">
        <f>+C92</f>
        <v>40</v>
      </c>
      <c r="D113" s="83">
        <f>IF(C112=2,SUM(E101:E111),IF(C112=1,SUM(E101:E111)*D102/D101,0))</f>
        <v>0</v>
      </c>
      <c r="E113" s="18">
        <f>C113*D113/100</f>
        <v>0</v>
      </c>
    </row>
    <row r="114" spans="1:7" s="11" customFormat="1" hidden="1">
      <c r="A114" s="117" t="s">
        <v>3</v>
      </c>
      <c r="B114" s="118"/>
      <c r="C114" s="118"/>
      <c r="D114" s="119"/>
      <c r="E114" s="120">
        <f>SUM(E101:E113)</f>
        <v>1480.29</v>
      </c>
      <c r="F114" s="44"/>
      <c r="G114" s="44"/>
    </row>
    <row r="115" spans="1:7" hidden="1">
      <c r="A115" s="16" t="s">
        <v>4</v>
      </c>
      <c r="B115" s="17" t="s">
        <v>2</v>
      </c>
      <c r="C115" s="142">
        <f>'2.Encargos Sociais'!$C$34*100</f>
        <v>74.890000000000015</v>
      </c>
      <c r="D115" s="18">
        <f>E114</f>
        <v>1480.29</v>
      </c>
      <c r="E115" s="18">
        <f>D115*C115/100</f>
        <v>1108.5891810000003</v>
      </c>
    </row>
    <row r="116" spans="1:7" s="11" customFormat="1" hidden="1">
      <c r="A116" s="117" t="s">
        <v>280</v>
      </c>
      <c r="B116" s="118"/>
      <c r="C116" s="118"/>
      <c r="D116" s="119"/>
      <c r="E116" s="120">
        <f>E114+E115</f>
        <v>2588.8791810000002</v>
      </c>
      <c r="F116" s="44"/>
      <c r="G116" s="44"/>
    </row>
    <row r="117" spans="1:7" ht="13.5" hidden="1" thickBot="1">
      <c r="A117" s="16" t="s">
        <v>5</v>
      </c>
      <c r="B117" s="17" t="s">
        <v>6</v>
      </c>
      <c r="C117" s="86"/>
      <c r="D117" s="18">
        <f>E116</f>
        <v>2588.8791810000002</v>
      </c>
      <c r="E117" s="18">
        <f>C117*D117</f>
        <v>0</v>
      </c>
    </row>
    <row r="118" spans="1:7" ht="13.5" hidden="1" thickBot="1">
      <c r="D118" s="124" t="s">
        <v>210</v>
      </c>
      <c r="E118" s="50">
        <f>$B$48</f>
        <v>0.36359999999999998</v>
      </c>
      <c r="F118" s="125">
        <f>E117*E118</f>
        <v>0</v>
      </c>
    </row>
    <row r="119" spans="1:7" ht="11.25" hidden="1" customHeight="1">
      <c r="G119" s="9"/>
    </row>
    <row r="120" spans="1:7" ht="13.5" thickBot="1">
      <c r="A120" s="9" t="s">
        <v>110</v>
      </c>
      <c r="B120" s="93"/>
      <c r="D120" s="9"/>
      <c r="E120" s="9"/>
      <c r="G120" s="9"/>
    </row>
    <row r="121" spans="1:7" ht="13.5" thickBot="1">
      <c r="A121" s="60" t="s">
        <v>66</v>
      </c>
      <c r="B121" s="61" t="s">
        <v>67</v>
      </c>
      <c r="C121" s="61" t="s">
        <v>42</v>
      </c>
      <c r="D121" s="62" t="s">
        <v>260</v>
      </c>
      <c r="E121" s="62" t="s">
        <v>68</v>
      </c>
      <c r="F121" s="63" t="s">
        <v>69</v>
      </c>
      <c r="G121" s="9"/>
    </row>
    <row r="122" spans="1:7">
      <c r="A122" s="16" t="s">
        <v>96</v>
      </c>
      <c r="B122" s="17" t="s">
        <v>35</v>
      </c>
      <c r="C122" s="94">
        <v>1</v>
      </c>
      <c r="D122" s="92">
        <v>2.15</v>
      </c>
      <c r="E122" s="18"/>
      <c r="G122" s="9"/>
    </row>
    <row r="123" spans="1:7">
      <c r="A123" s="16" t="s">
        <v>97</v>
      </c>
      <c r="B123" s="17" t="s">
        <v>98</v>
      </c>
      <c r="C123" s="91">
        <v>8</v>
      </c>
      <c r="D123" s="18"/>
      <c r="E123" s="18"/>
      <c r="G123" s="9"/>
    </row>
    <row r="124" spans="1:7">
      <c r="A124" s="16" t="s">
        <v>77</v>
      </c>
      <c r="B124" s="17" t="s">
        <v>9</v>
      </c>
      <c r="C124" s="37">
        <f>$C$123*2*(C62+C81)</f>
        <v>32</v>
      </c>
      <c r="D124" s="15">
        <f>IFERROR((($C$123*2*$D$122)-(E54*0.06))/($C$123*2),"-")</f>
        <v>-2.4320500000000007</v>
      </c>
      <c r="E124" s="18">
        <f>IFERROR(C124*D124,"-")</f>
        <v>-77.825600000000023</v>
      </c>
      <c r="G124" s="9"/>
    </row>
    <row r="125" spans="1:7" ht="13.5" thickBot="1">
      <c r="A125" s="13" t="s">
        <v>46</v>
      </c>
      <c r="B125" s="14" t="s">
        <v>9</v>
      </c>
      <c r="C125" s="37">
        <f>$C$123*2*(C96+C117)</f>
        <v>16</v>
      </c>
      <c r="D125" s="15">
        <f>IFERROR((($C$123*2*$D$122)-(E86*0.06))/($C$123*2),"-")</f>
        <v>-3.4010874999999996</v>
      </c>
      <c r="E125" s="15">
        <f>IFERROR(C125*D125,"-")</f>
        <v>-54.417399999999994</v>
      </c>
      <c r="G125" s="9"/>
    </row>
    <row r="126" spans="1:7" ht="13.5" thickBot="1">
      <c r="F126" s="22">
        <f>SUM(E124:E125)</f>
        <v>-132.24300000000002</v>
      </c>
      <c r="G126" s="9"/>
    </row>
    <row r="127" spans="1:7" ht="11.25" customHeight="1">
      <c r="G127" s="9"/>
    </row>
    <row r="128" spans="1:7" ht="13.5" thickBot="1">
      <c r="A128" s="9" t="s">
        <v>133</v>
      </c>
      <c r="F128" s="23"/>
      <c r="G128" s="9"/>
    </row>
    <row r="129" spans="1:7" ht="13.5" thickBot="1">
      <c r="A129" s="60" t="s">
        <v>66</v>
      </c>
      <c r="B129" s="61" t="s">
        <v>67</v>
      </c>
      <c r="C129" s="61" t="s">
        <v>42</v>
      </c>
      <c r="D129" s="62" t="s">
        <v>260</v>
      </c>
      <c r="E129" s="62" t="s">
        <v>68</v>
      </c>
      <c r="F129" s="63" t="s">
        <v>69</v>
      </c>
      <c r="G129" s="9"/>
    </row>
    <row r="130" spans="1:7">
      <c r="A130" s="16" t="str">
        <f>+A124</f>
        <v>Coletor</v>
      </c>
      <c r="B130" s="17" t="s">
        <v>10</v>
      </c>
      <c r="C130" s="102">
        <f>C123*(E38+E39)</f>
        <v>16</v>
      </c>
      <c r="D130" s="95">
        <v>16</v>
      </c>
      <c r="E130" s="50">
        <f>C130*D130</f>
        <v>256</v>
      </c>
      <c r="F130" s="23"/>
      <c r="G130" s="9"/>
    </row>
    <row r="131" spans="1:7" ht="13.5" thickBot="1">
      <c r="A131" s="16" t="str">
        <f>+A125</f>
        <v>Motorista</v>
      </c>
      <c r="B131" s="17" t="s">
        <v>10</v>
      </c>
      <c r="C131" s="102">
        <f>C123*(E40+E41)</f>
        <v>8</v>
      </c>
      <c r="D131" s="95">
        <v>18.100000000000001</v>
      </c>
      <c r="E131" s="50">
        <f>C131*D131</f>
        <v>144.80000000000001</v>
      </c>
      <c r="F131" s="23"/>
      <c r="G131" s="9"/>
    </row>
    <row r="132" spans="1:7" ht="13.5" thickBot="1">
      <c r="F132" s="22">
        <f>SUM(E130:E131)</f>
        <v>400.8</v>
      </c>
      <c r="G132" s="9"/>
    </row>
    <row r="133" spans="1:7">
      <c r="G133" s="9"/>
    </row>
    <row r="134" spans="1:7" ht="13.5" thickBot="1">
      <c r="A134" s="9" t="s">
        <v>134</v>
      </c>
      <c r="F134" s="23"/>
      <c r="G134" s="9"/>
    </row>
    <row r="135" spans="1:7" ht="13.5" thickBot="1">
      <c r="A135" s="60" t="s">
        <v>66</v>
      </c>
      <c r="B135" s="61" t="s">
        <v>67</v>
      </c>
      <c r="C135" s="61" t="s">
        <v>42</v>
      </c>
      <c r="D135" s="62" t="s">
        <v>260</v>
      </c>
      <c r="E135" s="62" t="s">
        <v>68</v>
      </c>
      <c r="F135" s="63" t="s">
        <v>69</v>
      </c>
      <c r="G135" s="9"/>
    </row>
    <row r="136" spans="1:7">
      <c r="A136" s="16" t="str">
        <f>+A130</f>
        <v>Coletor</v>
      </c>
      <c r="B136" s="17" t="s">
        <v>10</v>
      </c>
      <c r="C136" s="102">
        <f>E38+E39</f>
        <v>2</v>
      </c>
      <c r="D136" s="95"/>
      <c r="E136" s="50">
        <f>C136*D136</f>
        <v>0</v>
      </c>
      <c r="F136" s="23"/>
      <c r="G136" s="9"/>
    </row>
    <row r="137" spans="1:7" ht="13.5" thickBot="1">
      <c r="A137" s="16" t="str">
        <f>+A131</f>
        <v>Motorista</v>
      </c>
      <c r="B137" s="17" t="s">
        <v>10</v>
      </c>
      <c r="C137" s="102">
        <f>E40+E41</f>
        <v>1</v>
      </c>
      <c r="D137" s="95"/>
      <c r="E137" s="50">
        <f>C137*D137</f>
        <v>0</v>
      </c>
      <c r="F137" s="23"/>
      <c r="G137" s="9"/>
    </row>
    <row r="138" spans="1:7" ht="13.5" thickBot="1">
      <c r="D138" s="124" t="s">
        <v>210</v>
      </c>
      <c r="E138" s="50">
        <f>$B$48</f>
        <v>0.36359999999999998</v>
      </c>
      <c r="F138" s="22">
        <f>SUM(E136:E137)*E138</f>
        <v>0</v>
      </c>
      <c r="G138" s="9"/>
    </row>
    <row r="139" spans="1:7" ht="13.5" thickBot="1">
      <c r="G139" s="9"/>
    </row>
    <row r="140" spans="1:7" ht="13.5" thickBot="1">
      <c r="A140" s="24" t="s">
        <v>99</v>
      </c>
      <c r="B140" s="25"/>
      <c r="C140" s="25"/>
      <c r="D140" s="26"/>
      <c r="E140" s="27"/>
      <c r="F140" s="22">
        <f>F138+F132+F126+F118+F97+F82+F63</f>
        <v>3761.9819727468002</v>
      </c>
      <c r="G140" s="9"/>
    </row>
    <row r="142" spans="1:7">
      <c r="A142" s="11" t="s">
        <v>47</v>
      </c>
      <c r="G142" s="9"/>
    </row>
    <row r="143" spans="1:7" ht="11.25" customHeight="1">
      <c r="G143" s="9"/>
    </row>
    <row r="144" spans="1:7" ht="13.9" customHeight="1">
      <c r="A144" s="9" t="s">
        <v>212</v>
      </c>
      <c r="G144" s="9"/>
    </row>
    <row r="145" spans="1:7" ht="11.25" customHeight="1" thickBot="1">
      <c r="G145" s="9"/>
    </row>
    <row r="146" spans="1:7" ht="27.75" customHeight="1" thickBot="1">
      <c r="A146" s="60" t="s">
        <v>66</v>
      </c>
      <c r="B146" s="61" t="s">
        <v>67</v>
      </c>
      <c r="C146" s="275" t="s">
        <v>282</v>
      </c>
      <c r="D146" s="62" t="s">
        <v>260</v>
      </c>
      <c r="E146" s="62" t="s">
        <v>68</v>
      </c>
      <c r="F146" s="63" t="s">
        <v>69</v>
      </c>
      <c r="G146" s="9"/>
    </row>
    <row r="147" spans="1:7">
      <c r="A147" s="13" t="s">
        <v>70</v>
      </c>
      <c r="B147" s="14" t="s">
        <v>10</v>
      </c>
      <c r="C147" s="101">
        <v>12</v>
      </c>
      <c r="D147" s="87">
        <v>142</v>
      </c>
      <c r="E147" s="15">
        <f>IFERROR(D147/C147,0)</f>
        <v>11.833333333333334</v>
      </c>
      <c r="G147" s="9"/>
    </row>
    <row r="148" spans="1:7" ht="13.15" customHeight="1">
      <c r="A148" s="16" t="s">
        <v>30</v>
      </c>
      <c r="B148" s="17" t="s">
        <v>10</v>
      </c>
      <c r="C148" s="101">
        <v>12</v>
      </c>
      <c r="D148" s="87">
        <v>38</v>
      </c>
      <c r="E148" s="15">
        <f t="shared" ref="E148:E156" si="1">IFERROR(D148/C148,0)</f>
        <v>3.1666666666666665</v>
      </c>
      <c r="G148" s="9"/>
    </row>
    <row r="149" spans="1:7">
      <c r="A149" s="16" t="s">
        <v>31</v>
      </c>
      <c r="B149" s="17" t="s">
        <v>10</v>
      </c>
      <c r="C149" s="101">
        <v>6</v>
      </c>
      <c r="D149" s="87">
        <v>28</v>
      </c>
      <c r="E149" s="15">
        <f t="shared" si="1"/>
        <v>4.666666666666667</v>
      </c>
      <c r="G149" s="9"/>
    </row>
    <row r="150" spans="1:7" ht="13.15" customHeight="1">
      <c r="A150" s="16" t="s">
        <v>32</v>
      </c>
      <c r="B150" s="17" t="s">
        <v>10</v>
      </c>
      <c r="C150" s="101">
        <v>12</v>
      </c>
      <c r="D150" s="87">
        <v>15</v>
      </c>
      <c r="E150" s="15">
        <f t="shared" si="1"/>
        <v>1.25</v>
      </c>
      <c r="G150" s="9"/>
    </row>
    <row r="151" spans="1:7" ht="13.9" customHeight="1">
      <c r="A151" s="16" t="s">
        <v>72</v>
      </c>
      <c r="B151" s="17" t="s">
        <v>50</v>
      </c>
      <c r="C151" s="101">
        <v>12</v>
      </c>
      <c r="D151" s="87">
        <v>75</v>
      </c>
      <c r="E151" s="15">
        <f t="shared" si="1"/>
        <v>6.25</v>
      </c>
      <c r="G151" s="9"/>
    </row>
    <row r="152" spans="1:7" ht="13.15" customHeight="1">
      <c r="A152" s="16" t="s">
        <v>100</v>
      </c>
      <c r="B152" s="17" t="s">
        <v>50</v>
      </c>
      <c r="C152" s="101">
        <v>6</v>
      </c>
      <c r="D152" s="87">
        <v>12</v>
      </c>
      <c r="E152" s="15">
        <f t="shared" si="1"/>
        <v>2</v>
      </c>
    </row>
    <row r="153" spans="1:7">
      <c r="A153" s="16" t="s">
        <v>71</v>
      </c>
      <c r="B153" s="17" t="s">
        <v>10</v>
      </c>
      <c r="C153" s="101">
        <v>12</v>
      </c>
      <c r="D153" s="87">
        <v>22</v>
      </c>
      <c r="E153" s="15">
        <f t="shared" si="1"/>
        <v>1.8333333333333333</v>
      </c>
    </row>
    <row r="154" spans="1:7" s="1" customFormat="1">
      <c r="A154" s="2" t="s">
        <v>11</v>
      </c>
      <c r="B154" s="3" t="s">
        <v>10</v>
      </c>
      <c r="C154" s="101">
        <v>12</v>
      </c>
      <c r="D154" s="87">
        <v>28</v>
      </c>
      <c r="E154" s="15">
        <f t="shared" si="1"/>
        <v>2.3333333333333335</v>
      </c>
      <c r="F154" s="38"/>
      <c r="G154" s="38"/>
    </row>
    <row r="155" spans="1:7">
      <c r="A155" s="16" t="s">
        <v>33</v>
      </c>
      <c r="B155" s="17" t="s">
        <v>50</v>
      </c>
      <c r="C155" s="101">
        <v>1</v>
      </c>
      <c r="D155" s="87">
        <v>10.5</v>
      </c>
      <c r="E155" s="15">
        <f t="shared" si="1"/>
        <v>10.5</v>
      </c>
    </row>
    <row r="156" spans="1:7" ht="13.15" customHeight="1">
      <c r="A156" s="16" t="s">
        <v>65</v>
      </c>
      <c r="B156" s="17" t="s">
        <v>51</v>
      </c>
      <c r="C156" s="101">
        <v>1</v>
      </c>
      <c r="D156" s="87">
        <v>15</v>
      </c>
      <c r="E156" s="15">
        <f t="shared" si="1"/>
        <v>15</v>
      </c>
    </row>
    <row r="157" spans="1:7">
      <c r="A157" s="16" t="s">
        <v>213</v>
      </c>
      <c r="B157" s="17" t="s">
        <v>135</v>
      </c>
      <c r="C157" s="122">
        <v>1</v>
      </c>
      <c r="D157" s="87">
        <v>50</v>
      </c>
      <c r="E157" s="18">
        <f t="shared" ref="E157" si="2">C157*D157</f>
        <v>50</v>
      </c>
    </row>
    <row r="158" spans="1:7" ht="13.5" thickBot="1">
      <c r="A158" s="16" t="s">
        <v>5</v>
      </c>
      <c r="B158" s="17" t="s">
        <v>6</v>
      </c>
      <c r="C158" s="69">
        <f>E38+E39</f>
        <v>2</v>
      </c>
      <c r="D158" s="18">
        <f>+SUM(E147:E157)</f>
        <v>108.83333333333334</v>
      </c>
      <c r="E158" s="18">
        <f>C158*D158</f>
        <v>217.66666666666669</v>
      </c>
    </row>
    <row r="159" spans="1:7" ht="13.5" thickBot="1">
      <c r="D159" s="124" t="s">
        <v>210</v>
      </c>
      <c r="E159" s="50">
        <f>$B$48</f>
        <v>0.36359999999999998</v>
      </c>
      <c r="F159" s="125">
        <f>E158*E159</f>
        <v>79.143600000000006</v>
      </c>
    </row>
    <row r="160" spans="1:7" ht="11.25" customHeight="1"/>
    <row r="161" spans="1:7" ht="13.9" customHeight="1">
      <c r="A161" s="9" t="s">
        <v>214</v>
      </c>
    </row>
    <row r="162" spans="1:7" ht="11.25" customHeight="1" thickBot="1"/>
    <row r="163" spans="1:7" ht="24.75" thickBot="1">
      <c r="A163" s="60" t="s">
        <v>66</v>
      </c>
      <c r="B163" s="61" t="s">
        <v>67</v>
      </c>
      <c r="C163" s="275" t="s">
        <v>282</v>
      </c>
      <c r="D163" s="62" t="s">
        <v>260</v>
      </c>
      <c r="E163" s="62" t="s">
        <v>68</v>
      </c>
      <c r="F163" s="63" t="s">
        <v>69</v>
      </c>
    </row>
    <row r="164" spans="1:7">
      <c r="A164" s="13" t="s">
        <v>70</v>
      </c>
      <c r="B164" s="14" t="s">
        <v>10</v>
      </c>
      <c r="C164" s="101">
        <v>24</v>
      </c>
      <c r="D164" s="15">
        <f>+D147</f>
        <v>142</v>
      </c>
      <c r="E164" s="15">
        <f>IFERROR(D164/C164,0)</f>
        <v>5.916666666666667</v>
      </c>
    </row>
    <row r="165" spans="1:7">
      <c r="A165" s="16" t="s">
        <v>30</v>
      </c>
      <c r="B165" s="17" t="s">
        <v>10</v>
      </c>
      <c r="C165" s="101">
        <v>12</v>
      </c>
      <c r="D165" s="18">
        <f>+D148</f>
        <v>38</v>
      </c>
      <c r="E165" s="15">
        <f t="shared" ref="E165:E169" si="3">IFERROR(D165/C165,0)</f>
        <v>3.1666666666666665</v>
      </c>
    </row>
    <row r="166" spans="1:7">
      <c r="A166" s="16" t="s">
        <v>31</v>
      </c>
      <c r="B166" s="17" t="s">
        <v>10</v>
      </c>
      <c r="C166" s="101">
        <v>12</v>
      </c>
      <c r="D166" s="18">
        <f>+D149</f>
        <v>28</v>
      </c>
      <c r="E166" s="15">
        <f t="shared" si="3"/>
        <v>2.3333333333333335</v>
      </c>
    </row>
    <row r="167" spans="1:7">
      <c r="A167" s="16" t="s">
        <v>72</v>
      </c>
      <c r="B167" s="17" t="s">
        <v>50</v>
      </c>
      <c r="C167" s="101">
        <v>12</v>
      </c>
      <c r="D167" s="18">
        <f>+D151</f>
        <v>75</v>
      </c>
      <c r="E167" s="15">
        <f t="shared" si="3"/>
        <v>6.25</v>
      </c>
    </row>
    <row r="168" spans="1:7">
      <c r="A168" s="16" t="s">
        <v>71</v>
      </c>
      <c r="B168" s="17" t="s">
        <v>10</v>
      </c>
      <c r="C168" s="101">
        <v>24</v>
      </c>
      <c r="D168" s="18">
        <f>+D153</f>
        <v>22</v>
      </c>
      <c r="E168" s="15">
        <f t="shared" si="3"/>
        <v>0.91666666666666663</v>
      </c>
      <c r="G168" s="9"/>
    </row>
    <row r="169" spans="1:7">
      <c r="A169" s="16" t="s">
        <v>65</v>
      </c>
      <c r="B169" s="17" t="s">
        <v>51</v>
      </c>
      <c r="C169" s="101">
        <v>2</v>
      </c>
      <c r="D169" s="18">
        <f>+D156</f>
        <v>15</v>
      </c>
      <c r="E169" s="15">
        <f t="shared" si="3"/>
        <v>7.5</v>
      </c>
      <c r="G169" s="9"/>
    </row>
    <row r="170" spans="1:7">
      <c r="A170" s="16" t="s">
        <v>213</v>
      </c>
      <c r="B170" s="17" t="s">
        <v>135</v>
      </c>
      <c r="C170" s="122">
        <v>1</v>
      </c>
      <c r="D170" s="87">
        <v>50</v>
      </c>
      <c r="E170" s="18">
        <f t="shared" ref="E170:E171" si="4">C170*D170</f>
        <v>50</v>
      </c>
      <c r="G170" s="9"/>
    </row>
    <row r="171" spans="1:7" ht="13.5" thickBot="1">
      <c r="A171" s="16" t="s">
        <v>5</v>
      </c>
      <c r="B171" s="17" t="s">
        <v>6</v>
      </c>
      <c r="C171" s="69">
        <f>E40+E41</f>
        <v>1</v>
      </c>
      <c r="D171" s="18">
        <f>+SUM(E164:E170)</f>
        <v>76.083333333333343</v>
      </c>
      <c r="E171" s="18">
        <f t="shared" si="4"/>
        <v>76.083333333333343</v>
      </c>
      <c r="G171" s="9"/>
    </row>
    <row r="172" spans="1:7" ht="13.5" thickBot="1">
      <c r="D172" s="124" t="s">
        <v>210</v>
      </c>
      <c r="E172" s="50">
        <f>$B$48</f>
        <v>0.36359999999999998</v>
      </c>
      <c r="F172" s="125">
        <f>E171*E172</f>
        <v>27.663900000000002</v>
      </c>
      <c r="G172" s="9"/>
    </row>
    <row r="173" spans="1:7" ht="11.25" customHeight="1" thickBot="1">
      <c r="G173" s="9"/>
    </row>
    <row r="174" spans="1:7" ht="13.5" thickBot="1">
      <c r="A174" s="24" t="s">
        <v>215</v>
      </c>
      <c r="B174" s="28"/>
      <c r="C174" s="28"/>
      <c r="D174" s="29"/>
      <c r="E174" s="30"/>
      <c r="F174" s="21">
        <f>+F159+F172</f>
        <v>106.8075</v>
      </c>
      <c r="G174" s="9"/>
    </row>
    <row r="175" spans="1:7" ht="11.25" customHeight="1">
      <c r="G175" s="9"/>
    </row>
    <row r="176" spans="1:7">
      <c r="A176" s="11" t="s">
        <v>56</v>
      </c>
      <c r="G176" s="9"/>
    </row>
    <row r="177" spans="1:10" ht="11.25" customHeight="1">
      <c r="B177" s="107"/>
      <c r="G177" s="9"/>
    </row>
    <row r="178" spans="1:10">
      <c r="A178" s="7" t="s">
        <v>315</v>
      </c>
      <c r="G178" s="9"/>
    </row>
    <row r="179" spans="1:10" ht="11.25" customHeight="1">
      <c r="G179" s="9"/>
    </row>
    <row r="180" spans="1:10" ht="13.5" thickBot="1">
      <c r="A180" s="107" t="s">
        <v>48</v>
      </c>
      <c r="G180" s="9"/>
    </row>
    <row r="181" spans="1:10" ht="13.5" thickBot="1">
      <c r="A181" s="60" t="s">
        <v>66</v>
      </c>
      <c r="B181" s="61" t="s">
        <v>67</v>
      </c>
      <c r="C181" s="61" t="s">
        <v>42</v>
      </c>
      <c r="D181" s="62" t="s">
        <v>260</v>
      </c>
      <c r="E181" s="62" t="s">
        <v>68</v>
      </c>
      <c r="F181" s="63" t="s">
        <v>69</v>
      </c>
      <c r="G181" s="9"/>
    </row>
    <row r="182" spans="1:10">
      <c r="A182" s="13" t="s">
        <v>117</v>
      </c>
      <c r="B182" s="14" t="s">
        <v>10</v>
      </c>
      <c r="C182" s="281">
        <v>1</v>
      </c>
      <c r="D182" s="87">
        <v>212142</v>
      </c>
      <c r="E182" s="15">
        <f>C182*D182</f>
        <v>212142</v>
      </c>
      <c r="G182" s="9"/>
    </row>
    <row r="183" spans="1:10">
      <c r="A183" s="16" t="s">
        <v>111</v>
      </c>
      <c r="B183" s="17" t="s">
        <v>112</v>
      </c>
      <c r="C183" s="86">
        <v>6</v>
      </c>
      <c r="D183" s="83"/>
      <c r="E183" s="18"/>
      <c r="G183" s="9"/>
    </row>
    <row r="184" spans="1:10">
      <c r="A184" s="16" t="s">
        <v>228</v>
      </c>
      <c r="B184" s="17" t="s">
        <v>112</v>
      </c>
      <c r="C184" s="86">
        <v>0</v>
      </c>
      <c r="D184" s="18"/>
      <c r="E184" s="18"/>
      <c r="F184" s="20"/>
      <c r="I184" s="85"/>
      <c r="J184" s="85"/>
    </row>
    <row r="185" spans="1:10">
      <c r="A185" s="16" t="s">
        <v>115</v>
      </c>
      <c r="B185" s="17" t="s">
        <v>2</v>
      </c>
      <c r="C185" s="142">
        <f>IFERROR(VLOOKUP(C183,'5. Depreciação'!A3:B17,2,FALSE),0)</f>
        <v>58.18</v>
      </c>
      <c r="D185" s="18">
        <f>E182</f>
        <v>212142</v>
      </c>
      <c r="E185" s="18">
        <f>C185*D185/100</f>
        <v>123424.21560000001</v>
      </c>
    </row>
    <row r="186" spans="1:10" ht="13.5" thickBot="1">
      <c r="A186" s="287" t="s">
        <v>52</v>
      </c>
      <c r="B186" s="288" t="s">
        <v>8</v>
      </c>
      <c r="C186" s="288">
        <f>C183*12</f>
        <v>72</v>
      </c>
      <c r="D186" s="289">
        <f>IF(C184&lt;=C183,E185,0)</f>
        <v>123424.21560000001</v>
      </c>
      <c r="E186" s="289">
        <f>IFERROR(D186/C186,0)</f>
        <v>1714.2252166666667</v>
      </c>
    </row>
    <row r="187" spans="1:10" ht="13.5" thickTop="1">
      <c r="A187" s="13" t="s">
        <v>116</v>
      </c>
      <c r="B187" s="14" t="s">
        <v>10</v>
      </c>
      <c r="C187" s="14">
        <f>C182</f>
        <v>1</v>
      </c>
      <c r="D187" s="87">
        <v>0</v>
      </c>
      <c r="E187" s="15">
        <f>C187*D187</f>
        <v>0</v>
      </c>
      <c r="G187" s="9"/>
    </row>
    <row r="188" spans="1:10">
      <c r="A188" s="16" t="s">
        <v>113</v>
      </c>
      <c r="B188" s="17" t="s">
        <v>112</v>
      </c>
      <c r="C188" s="86">
        <v>0</v>
      </c>
      <c r="D188" s="18"/>
      <c r="E188" s="18"/>
    </row>
    <row r="189" spans="1:10">
      <c r="A189" s="16" t="s">
        <v>229</v>
      </c>
      <c r="B189" s="17" t="s">
        <v>112</v>
      </c>
      <c r="C189" s="86">
        <v>0</v>
      </c>
      <c r="D189" s="18"/>
      <c r="E189" s="18"/>
      <c r="F189" s="20"/>
      <c r="I189" s="85"/>
      <c r="J189" s="85"/>
    </row>
    <row r="190" spans="1:10">
      <c r="A190" s="16" t="s">
        <v>114</v>
      </c>
      <c r="B190" s="17" t="s">
        <v>2</v>
      </c>
      <c r="C190" s="143">
        <f>IFERROR(VLOOKUP(C188,'5. Depreciação'!A3:B17,2,FALSE),0)</f>
        <v>0</v>
      </c>
      <c r="D190" s="18">
        <f>E187</f>
        <v>0</v>
      </c>
      <c r="E190" s="18">
        <f>C190*D190/100</f>
        <v>0</v>
      </c>
    </row>
    <row r="191" spans="1:10">
      <c r="A191" s="103" t="s">
        <v>118</v>
      </c>
      <c r="B191" s="104" t="s">
        <v>8</v>
      </c>
      <c r="C191" s="104">
        <f>C188*12</f>
        <v>0</v>
      </c>
      <c r="D191" s="105">
        <f>IF(C189&lt;=C188,E190,0)</f>
        <v>0</v>
      </c>
      <c r="E191" s="105">
        <f>IFERROR(D191/C191,0)</f>
        <v>0</v>
      </c>
    </row>
    <row r="192" spans="1:10">
      <c r="A192" s="117" t="s">
        <v>285</v>
      </c>
      <c r="B192" s="118"/>
      <c r="C192" s="118"/>
      <c r="D192" s="119"/>
      <c r="E192" s="120">
        <f>E186+E191</f>
        <v>1714.2252166666667</v>
      </c>
    </row>
    <row r="193" spans="1:10" ht="13.5" thickBot="1">
      <c r="A193" s="103" t="s">
        <v>286</v>
      </c>
      <c r="B193" s="104" t="s">
        <v>10</v>
      </c>
      <c r="C193" s="86">
        <v>1</v>
      </c>
      <c r="D193" s="105">
        <f>E192</f>
        <v>1714.2252166666667</v>
      </c>
      <c r="E193" s="120">
        <f>C193*D193</f>
        <v>1714.2252166666667</v>
      </c>
    </row>
    <row r="194" spans="1:10" ht="13.5" thickBot="1">
      <c r="A194" s="280"/>
      <c r="B194" s="280"/>
      <c r="C194" s="280"/>
      <c r="D194" s="124" t="s">
        <v>210</v>
      </c>
      <c r="E194" s="50">
        <f>$B$48</f>
        <v>0.36359999999999998</v>
      </c>
      <c r="F194" s="21">
        <f>E193*E194</f>
        <v>623.29228878000004</v>
      </c>
    </row>
    <row r="195" spans="1:10" ht="11.25" customHeight="1"/>
    <row r="196" spans="1:10" ht="13.5" thickBot="1">
      <c r="A196" s="107" t="s">
        <v>123</v>
      </c>
    </row>
    <row r="197" spans="1:10" ht="13.5" thickBot="1">
      <c r="A197" s="109" t="s">
        <v>66</v>
      </c>
      <c r="B197" s="110" t="s">
        <v>67</v>
      </c>
      <c r="C197" s="110" t="s">
        <v>42</v>
      </c>
      <c r="D197" s="62" t="s">
        <v>260</v>
      </c>
      <c r="E197" s="111" t="s">
        <v>68</v>
      </c>
      <c r="F197" s="63" t="s">
        <v>69</v>
      </c>
      <c r="I197" s="85"/>
      <c r="J197" s="85"/>
    </row>
    <row r="198" spans="1:10">
      <c r="A198" s="16" t="s">
        <v>121</v>
      </c>
      <c r="B198" s="17" t="s">
        <v>10</v>
      </c>
      <c r="C198" s="281">
        <v>1</v>
      </c>
      <c r="D198" s="18">
        <f>D182</f>
        <v>212142</v>
      </c>
      <c r="E198" s="18">
        <f>C198*D198</f>
        <v>212142</v>
      </c>
      <c r="F198" s="20"/>
      <c r="I198" s="85"/>
      <c r="J198" s="85"/>
    </row>
    <row r="199" spans="1:10">
      <c r="A199" s="16" t="s">
        <v>232</v>
      </c>
      <c r="B199" s="17" t="s">
        <v>2</v>
      </c>
      <c r="C199" s="86">
        <v>6.43</v>
      </c>
      <c r="D199" s="18"/>
      <c r="E199" s="18"/>
      <c r="F199" s="20"/>
      <c r="G199" s="311" t="s">
        <v>316</v>
      </c>
      <c r="I199" s="85"/>
      <c r="J199" s="85"/>
    </row>
    <row r="200" spans="1:10">
      <c r="A200" s="16" t="s">
        <v>230</v>
      </c>
      <c r="B200" s="17" t="s">
        <v>35</v>
      </c>
      <c r="C200" s="150">
        <f>IFERROR(IF(C184&lt;=C183,E182-(C185/(100*C183)*C184)*E182,E182-E185),0)</f>
        <v>212142</v>
      </c>
      <c r="D200" s="18"/>
      <c r="E200" s="18"/>
      <c r="F200" s="20"/>
      <c r="I200" s="85"/>
      <c r="J200" s="85"/>
    </row>
    <row r="201" spans="1:10">
      <c r="A201" s="16" t="s">
        <v>126</v>
      </c>
      <c r="B201" s="17" t="s">
        <v>35</v>
      </c>
      <c r="C201" s="83">
        <f>IFERROR(IF(C184&gt;=C183,C200,((((C200)-(E182-E185))*(((C183-C184)+1)/(2*(C183-C184))))+(E182-E185))),0)</f>
        <v>160715.24349999998</v>
      </c>
      <c r="D201" s="18"/>
      <c r="E201" s="18"/>
      <c r="F201" s="20"/>
      <c r="I201" s="85"/>
      <c r="J201" s="85"/>
    </row>
    <row r="202" spans="1:10" ht="13.5" thickBot="1">
      <c r="A202" s="287" t="s">
        <v>127</v>
      </c>
      <c r="B202" s="288" t="s">
        <v>35</v>
      </c>
      <c r="C202" s="288"/>
      <c r="D202" s="290">
        <f>C199*C201/12/100</f>
        <v>861.16584642083308</v>
      </c>
      <c r="E202" s="289">
        <f>D202</f>
        <v>861.16584642083308</v>
      </c>
      <c r="F202" s="20"/>
      <c r="I202" s="85"/>
      <c r="J202" s="85"/>
    </row>
    <row r="203" spans="1:10" ht="13.5" thickTop="1">
      <c r="A203" s="13" t="s">
        <v>122</v>
      </c>
      <c r="B203" s="14" t="s">
        <v>10</v>
      </c>
      <c r="C203" s="14">
        <f>C187</f>
        <v>1</v>
      </c>
      <c r="D203" s="15">
        <f>D187</f>
        <v>0</v>
      </c>
      <c r="E203" s="15">
        <f>C203*D203</f>
        <v>0</v>
      </c>
      <c r="F203" s="20"/>
      <c r="I203" s="85"/>
      <c r="J203" s="85"/>
    </row>
    <row r="204" spans="1:10">
      <c r="A204" s="16" t="s">
        <v>232</v>
      </c>
      <c r="B204" s="17" t="s">
        <v>2</v>
      </c>
      <c r="C204" s="282">
        <f>C199</f>
        <v>6.43</v>
      </c>
      <c r="D204" s="18"/>
      <c r="E204" s="18"/>
      <c r="F204" s="20"/>
      <c r="I204" s="85"/>
      <c r="J204" s="85"/>
    </row>
    <row r="205" spans="1:10">
      <c r="A205" s="16" t="s">
        <v>231</v>
      </c>
      <c r="B205" s="17" t="s">
        <v>35</v>
      </c>
      <c r="C205" s="150">
        <f>IFERROR(IF(C189&lt;=C188,E187-(C190/(100*C188)*C189)*E187,E187-E190),0)</f>
        <v>0</v>
      </c>
      <c r="D205" s="18"/>
      <c r="E205" s="18"/>
      <c r="F205" s="20"/>
      <c r="I205" s="85"/>
      <c r="J205" s="85"/>
    </row>
    <row r="206" spans="1:10">
      <c r="A206" s="16" t="s">
        <v>128</v>
      </c>
      <c r="B206" s="17" t="s">
        <v>35</v>
      </c>
      <c r="C206" s="83">
        <f>IFERROR(IF(C189&gt;=C188,C205,((((C205)-(E187-E190))*(((C188-C189)+1)/(2*(C188-C189))))+(E187-E190))),0)</f>
        <v>0</v>
      </c>
      <c r="D206" s="18"/>
      <c r="E206" s="18"/>
      <c r="F206" s="20"/>
      <c r="I206" s="85"/>
      <c r="J206" s="85"/>
    </row>
    <row r="207" spans="1:10">
      <c r="A207" s="103" t="s">
        <v>125</v>
      </c>
      <c r="B207" s="104" t="s">
        <v>35</v>
      </c>
      <c r="C207" s="104"/>
      <c r="D207" s="113">
        <f>C204*C206/12/100</f>
        <v>0</v>
      </c>
      <c r="E207" s="105">
        <f>D207</f>
        <v>0</v>
      </c>
      <c r="F207" s="20"/>
      <c r="I207" s="85"/>
      <c r="J207" s="85"/>
    </row>
    <row r="208" spans="1:10">
      <c r="A208" s="117" t="s">
        <v>285</v>
      </c>
      <c r="B208" s="118"/>
      <c r="C208" s="118"/>
      <c r="D208" s="119"/>
      <c r="E208" s="120">
        <f>E202+E207</f>
        <v>861.16584642083308</v>
      </c>
      <c r="F208" s="20"/>
      <c r="I208" s="85"/>
      <c r="J208" s="85"/>
    </row>
    <row r="209" spans="1:10" ht="13.5" thickBot="1">
      <c r="A209" s="103" t="s">
        <v>286</v>
      </c>
      <c r="B209" s="104" t="s">
        <v>10</v>
      </c>
      <c r="C209" s="282">
        <f>C193</f>
        <v>1</v>
      </c>
      <c r="D209" s="105">
        <f>E208</f>
        <v>861.16584642083308</v>
      </c>
      <c r="E209" s="120">
        <f>C209*D209</f>
        <v>861.16584642083308</v>
      </c>
      <c r="F209" s="20"/>
      <c r="I209" s="85"/>
      <c r="J209" s="85"/>
    </row>
    <row r="210" spans="1:10" ht="13.5" thickBot="1">
      <c r="C210" s="19"/>
      <c r="D210" s="124" t="s">
        <v>210</v>
      </c>
      <c r="E210" s="50">
        <f>$B$48</f>
        <v>0.36359999999999998</v>
      </c>
      <c r="F210" s="21">
        <f>E209*E210</f>
        <v>313.1199017586149</v>
      </c>
      <c r="I210" s="85"/>
      <c r="J210" s="85"/>
    </row>
    <row r="211" spans="1:10" ht="11.25" customHeight="1">
      <c r="I211" s="85"/>
      <c r="J211" s="85"/>
    </row>
    <row r="212" spans="1:10" ht="13.5" thickBot="1">
      <c r="A212" s="9" t="s">
        <v>53</v>
      </c>
      <c r="I212" s="85"/>
      <c r="J212" s="85"/>
    </row>
    <row r="213" spans="1:10" ht="13.5" thickBot="1">
      <c r="A213" s="60" t="s">
        <v>66</v>
      </c>
      <c r="B213" s="61" t="s">
        <v>67</v>
      </c>
      <c r="C213" s="61" t="s">
        <v>42</v>
      </c>
      <c r="D213" s="62" t="s">
        <v>260</v>
      </c>
      <c r="E213" s="62" t="s">
        <v>68</v>
      </c>
      <c r="F213" s="63" t="s">
        <v>69</v>
      </c>
      <c r="I213" s="85"/>
      <c r="J213" s="85"/>
    </row>
    <row r="214" spans="1:10">
      <c r="A214" s="13" t="s">
        <v>12</v>
      </c>
      <c r="B214" s="14" t="s">
        <v>10</v>
      </c>
      <c r="C214" s="15">
        <f>C182</f>
        <v>1</v>
      </c>
      <c r="D214" s="15">
        <f>0.01*D182</f>
        <v>2121.42</v>
      </c>
      <c r="E214" s="15">
        <f>C214*D214</f>
        <v>2121.42</v>
      </c>
      <c r="I214" s="85"/>
      <c r="J214" s="85"/>
    </row>
    <row r="215" spans="1:10">
      <c r="A215" s="16" t="s">
        <v>209</v>
      </c>
      <c r="B215" s="17" t="s">
        <v>10</v>
      </c>
      <c r="C215" s="15">
        <f>C182</f>
        <v>1</v>
      </c>
      <c r="D215" s="89">
        <v>110.38</v>
      </c>
      <c r="E215" s="18">
        <f>C215*D215</f>
        <v>110.38</v>
      </c>
      <c r="I215" s="85"/>
      <c r="J215" s="85"/>
    </row>
    <row r="216" spans="1:10">
      <c r="A216" s="16" t="s">
        <v>13</v>
      </c>
      <c r="B216" s="17" t="s">
        <v>10</v>
      </c>
      <c r="C216" s="15">
        <f>C182</f>
        <v>1</v>
      </c>
      <c r="D216" s="89">
        <v>1450</v>
      </c>
      <c r="E216" s="18">
        <f>C216*D216</f>
        <v>1450</v>
      </c>
      <c r="F216" s="31"/>
      <c r="I216" s="85"/>
      <c r="J216" s="85"/>
    </row>
    <row r="217" spans="1:10" ht="13.5" thickBot="1">
      <c r="A217" s="103" t="s">
        <v>14</v>
      </c>
      <c r="B217" s="104" t="s">
        <v>8</v>
      </c>
      <c r="C217" s="104">
        <v>12</v>
      </c>
      <c r="D217" s="105">
        <f>SUM(E214:E216)</f>
        <v>3681.8</v>
      </c>
      <c r="E217" s="105">
        <f>D217/C217</f>
        <v>306.81666666666666</v>
      </c>
      <c r="I217" s="85"/>
      <c r="J217" s="85"/>
    </row>
    <row r="218" spans="1:10" ht="13.5" thickBot="1">
      <c r="D218" s="124" t="s">
        <v>210</v>
      </c>
      <c r="E218" s="50">
        <f>$B$48</f>
        <v>0.36359999999999998</v>
      </c>
      <c r="F218" s="125">
        <f>E217*E218</f>
        <v>111.55853999999999</v>
      </c>
      <c r="I218" s="85"/>
      <c r="J218" s="85"/>
    </row>
    <row r="219" spans="1:10" ht="11.25" customHeight="1">
      <c r="I219" s="85"/>
      <c r="J219" s="85"/>
    </row>
    <row r="220" spans="1:10">
      <c r="A220" s="9" t="s">
        <v>54</v>
      </c>
      <c r="B220" s="32"/>
      <c r="I220" s="85"/>
      <c r="J220" s="85"/>
    </row>
    <row r="221" spans="1:10">
      <c r="B221" s="32"/>
      <c r="I221" s="85"/>
      <c r="J221" s="85"/>
    </row>
    <row r="222" spans="1:10">
      <c r="A222" s="103" t="s">
        <v>130</v>
      </c>
      <c r="B222" s="114">
        <v>1619.72</v>
      </c>
      <c r="I222" s="85"/>
      <c r="J222" s="85"/>
    </row>
    <row r="223" spans="1:10" ht="13.5" thickBot="1">
      <c r="B223" s="32"/>
      <c r="I223" s="85"/>
      <c r="J223" s="85"/>
    </row>
    <row r="224" spans="1:10" ht="13.5" thickBot="1">
      <c r="A224" s="60" t="s">
        <v>66</v>
      </c>
      <c r="B224" s="61" t="s">
        <v>67</v>
      </c>
      <c r="C224" s="61" t="s">
        <v>284</v>
      </c>
      <c r="D224" s="62" t="s">
        <v>260</v>
      </c>
      <c r="E224" s="62" t="s">
        <v>68</v>
      </c>
      <c r="F224" s="63" t="s">
        <v>69</v>
      </c>
      <c r="I224" s="85"/>
      <c r="J224" s="85"/>
    </row>
    <row r="225" spans="1:10">
      <c r="A225" s="13" t="s">
        <v>15</v>
      </c>
      <c r="B225" s="14" t="s">
        <v>16</v>
      </c>
      <c r="C225" s="97">
        <v>2.1</v>
      </c>
      <c r="D225" s="98">
        <v>3.879</v>
      </c>
      <c r="E225" s="15"/>
      <c r="I225" s="85"/>
      <c r="J225" s="85"/>
    </row>
    <row r="226" spans="1:10">
      <c r="A226" s="16" t="s">
        <v>17</v>
      </c>
      <c r="B226" s="17" t="s">
        <v>18</v>
      </c>
      <c r="C226" s="94">
        <f>B222</f>
        <v>1619.72</v>
      </c>
      <c r="D226" s="279">
        <f>IFERROR(+D225/C225,"-")</f>
        <v>1.847142857142857</v>
      </c>
      <c r="E226" s="18">
        <f>IFERROR(C226*D226,"-")</f>
        <v>2991.8542285714284</v>
      </c>
      <c r="I226" s="85"/>
      <c r="J226" s="85"/>
    </row>
    <row r="227" spans="1:10">
      <c r="A227" s="16" t="s">
        <v>261</v>
      </c>
      <c r="B227" s="17" t="s">
        <v>19</v>
      </c>
      <c r="C227" s="100">
        <v>6</v>
      </c>
      <c r="D227" s="89">
        <v>17.45</v>
      </c>
      <c r="E227" s="18"/>
      <c r="G227" s="112"/>
      <c r="H227" s="52"/>
      <c r="I227" s="85"/>
      <c r="J227" s="85"/>
    </row>
    <row r="228" spans="1:10">
      <c r="A228" s="16" t="s">
        <v>20</v>
      </c>
      <c r="B228" s="17" t="s">
        <v>18</v>
      </c>
      <c r="C228" s="94">
        <f>C226</f>
        <v>1619.72</v>
      </c>
      <c r="D228" s="276">
        <f>+C227*D227/1000</f>
        <v>0.10469999999999999</v>
      </c>
      <c r="E228" s="18">
        <f>C228*D228</f>
        <v>169.58468399999998</v>
      </c>
      <c r="G228" s="112"/>
      <c r="H228" s="52"/>
      <c r="I228" s="85"/>
      <c r="J228" s="85"/>
    </row>
    <row r="229" spans="1:10">
      <c r="A229" s="16" t="s">
        <v>262</v>
      </c>
      <c r="B229" s="17" t="s">
        <v>19</v>
      </c>
      <c r="C229" s="100">
        <v>0.85</v>
      </c>
      <c r="D229" s="89">
        <v>13.45</v>
      </c>
      <c r="E229" s="18"/>
      <c r="G229" s="112"/>
      <c r="H229" s="52"/>
      <c r="I229" s="85"/>
      <c r="J229" s="85"/>
    </row>
    <row r="230" spans="1:10">
      <c r="A230" s="16" t="s">
        <v>21</v>
      </c>
      <c r="B230" s="17" t="s">
        <v>18</v>
      </c>
      <c r="C230" s="94">
        <f>C226</f>
        <v>1619.72</v>
      </c>
      <c r="D230" s="276">
        <f>+C229*D229/1000</f>
        <v>1.14325E-2</v>
      </c>
      <c r="E230" s="18">
        <f>C230*D230</f>
        <v>18.517448900000002</v>
      </c>
      <c r="G230" s="112"/>
      <c r="H230" s="52"/>
      <c r="I230" s="85"/>
      <c r="J230" s="85"/>
    </row>
    <row r="231" spans="1:10">
      <c r="A231" s="16" t="s">
        <v>263</v>
      </c>
      <c r="B231" s="17" t="s">
        <v>19</v>
      </c>
      <c r="C231" s="100">
        <v>16</v>
      </c>
      <c r="D231" s="89">
        <v>8.4499999999999993</v>
      </c>
      <c r="E231" s="18"/>
      <c r="G231" s="112"/>
      <c r="H231" s="52"/>
      <c r="I231" s="85"/>
      <c r="J231" s="85"/>
    </row>
    <row r="232" spans="1:10">
      <c r="A232" s="16" t="s">
        <v>22</v>
      </c>
      <c r="B232" s="17" t="s">
        <v>18</v>
      </c>
      <c r="C232" s="94">
        <f>C226</f>
        <v>1619.72</v>
      </c>
      <c r="D232" s="276">
        <f>+C231*D231/1000</f>
        <v>0.13519999999999999</v>
      </c>
      <c r="E232" s="18">
        <f>C232*D232</f>
        <v>218.986144</v>
      </c>
      <c r="G232" s="112"/>
      <c r="H232" s="52"/>
      <c r="I232" s="85"/>
      <c r="J232" s="85"/>
    </row>
    <row r="233" spans="1:10">
      <c r="A233" s="16" t="s">
        <v>23</v>
      </c>
      <c r="B233" s="17" t="s">
        <v>24</v>
      </c>
      <c r="C233" s="100">
        <v>2</v>
      </c>
      <c r="D233" s="89">
        <v>5.4</v>
      </c>
      <c r="E233" s="18"/>
      <c r="G233" s="112"/>
      <c r="H233" s="52"/>
      <c r="I233" s="85"/>
      <c r="J233" s="85"/>
    </row>
    <row r="234" spans="1:10">
      <c r="A234" s="16" t="s">
        <v>25</v>
      </c>
      <c r="B234" s="17" t="s">
        <v>18</v>
      </c>
      <c r="C234" s="94">
        <f>C226</f>
        <v>1619.72</v>
      </c>
      <c r="D234" s="276">
        <f>+C233*D233/1000</f>
        <v>1.0800000000000001E-2</v>
      </c>
      <c r="E234" s="18">
        <f>C234*D234</f>
        <v>17.492976000000002</v>
      </c>
      <c r="G234" s="112"/>
      <c r="H234" s="52"/>
      <c r="I234" s="85"/>
      <c r="J234" s="85"/>
    </row>
    <row r="235" spans="1:10" ht="13.5" thickBot="1">
      <c r="A235" s="103" t="s">
        <v>283</v>
      </c>
      <c r="B235" s="104" t="s">
        <v>131</v>
      </c>
      <c r="C235" s="277"/>
      <c r="D235" s="278">
        <f>IFERROR(D226+D228+D230+D232+D234,0)</f>
        <v>2.1092753571428573</v>
      </c>
      <c r="E235" s="18"/>
      <c r="G235" s="112"/>
      <c r="H235" s="52"/>
      <c r="I235" s="85"/>
      <c r="J235" s="85"/>
    </row>
    <row r="236" spans="1:10" ht="13.5" thickBot="1">
      <c r="F236" s="21">
        <f>SUM(E225:E234)</f>
        <v>3416.4354814714284</v>
      </c>
      <c r="I236" s="85"/>
      <c r="J236" s="85"/>
    </row>
    <row r="237" spans="1:10" ht="11.25" customHeight="1">
      <c r="I237" s="85"/>
      <c r="J237" s="85"/>
    </row>
    <row r="238" spans="1:10" ht="13.5" thickBot="1">
      <c r="A238" s="9" t="s">
        <v>55</v>
      </c>
      <c r="I238" s="85"/>
      <c r="J238" s="85"/>
    </row>
    <row r="239" spans="1:10" ht="13.5" thickBot="1">
      <c r="A239" s="60" t="s">
        <v>66</v>
      </c>
      <c r="B239" s="61" t="s">
        <v>67</v>
      </c>
      <c r="C239" s="61" t="s">
        <v>42</v>
      </c>
      <c r="D239" s="62" t="s">
        <v>260</v>
      </c>
      <c r="E239" s="62" t="s">
        <v>68</v>
      </c>
      <c r="F239" s="63" t="s">
        <v>69</v>
      </c>
      <c r="I239" s="85"/>
      <c r="J239" s="85"/>
    </row>
    <row r="240" spans="1:10" ht="13.5" thickBot="1">
      <c r="A240" s="13" t="s">
        <v>129</v>
      </c>
      <c r="B240" s="14" t="s">
        <v>131</v>
      </c>
      <c r="C240" s="94">
        <f>C226</f>
        <v>1619.72</v>
      </c>
      <c r="D240" s="87">
        <v>0.75</v>
      </c>
      <c r="E240" s="15">
        <f>C240*D240</f>
        <v>1214.79</v>
      </c>
      <c r="I240" s="85"/>
      <c r="J240" s="85"/>
    </row>
    <row r="241" spans="1:10" ht="13.5" thickBot="1">
      <c r="F241" s="21">
        <f>E240</f>
        <v>1214.79</v>
      </c>
      <c r="I241" s="85"/>
      <c r="J241" s="85"/>
    </row>
    <row r="242" spans="1:10" ht="11.25" customHeight="1">
      <c r="I242" s="85"/>
      <c r="J242" s="85"/>
    </row>
    <row r="243" spans="1:10" ht="13.5" thickBot="1">
      <c r="A243" s="9" t="s">
        <v>64</v>
      </c>
      <c r="I243" s="85"/>
      <c r="J243" s="85"/>
    </row>
    <row r="244" spans="1:10" ht="13.5" thickBot="1">
      <c r="A244" s="60" t="s">
        <v>66</v>
      </c>
      <c r="B244" s="61" t="s">
        <v>67</v>
      </c>
      <c r="C244" s="61" t="s">
        <v>42</v>
      </c>
      <c r="D244" s="62" t="s">
        <v>260</v>
      </c>
      <c r="E244" s="62" t="s">
        <v>68</v>
      </c>
      <c r="F244" s="63" t="s">
        <v>69</v>
      </c>
      <c r="I244" s="85"/>
      <c r="J244" s="85"/>
    </row>
    <row r="245" spans="1:10">
      <c r="A245" s="13" t="s">
        <v>101</v>
      </c>
      <c r="B245" s="14" t="s">
        <v>10</v>
      </c>
      <c r="C245" s="96">
        <v>6</v>
      </c>
      <c r="D245" s="87">
        <v>1450</v>
      </c>
      <c r="E245" s="15">
        <f>C245*D245</f>
        <v>8700</v>
      </c>
      <c r="I245" s="85"/>
      <c r="J245" s="85"/>
    </row>
    <row r="246" spans="1:10">
      <c r="A246" s="13" t="s">
        <v>132</v>
      </c>
      <c r="B246" s="14" t="s">
        <v>10</v>
      </c>
      <c r="C246" s="96">
        <v>2</v>
      </c>
      <c r="D246" s="106"/>
      <c r="E246" s="15"/>
      <c r="I246" s="85"/>
      <c r="J246" s="85"/>
    </row>
    <row r="247" spans="1:10">
      <c r="A247" s="13" t="s">
        <v>74</v>
      </c>
      <c r="B247" s="14" t="s">
        <v>10</v>
      </c>
      <c r="C247" s="15">
        <f>C245*C246</f>
        <v>12</v>
      </c>
      <c r="D247" s="87">
        <v>450</v>
      </c>
      <c r="E247" s="15">
        <f>C247*D247</f>
        <v>5400</v>
      </c>
      <c r="I247" s="85"/>
      <c r="J247" s="85"/>
    </row>
    <row r="248" spans="1:10">
      <c r="A248" s="16" t="s">
        <v>102</v>
      </c>
      <c r="B248" s="17" t="s">
        <v>26</v>
      </c>
      <c r="C248" s="99">
        <v>60000</v>
      </c>
      <c r="D248" s="18">
        <f>E245+E247</f>
        <v>14100</v>
      </c>
      <c r="E248" s="18">
        <f>IFERROR(D248/C248,"-")</f>
        <v>0.23499999999999999</v>
      </c>
      <c r="I248" s="85"/>
      <c r="J248" s="85"/>
    </row>
    <row r="249" spans="1:10" ht="13.5" thickBot="1">
      <c r="A249" s="16" t="s">
        <v>57</v>
      </c>
      <c r="B249" s="17" t="s">
        <v>18</v>
      </c>
      <c r="C249" s="94">
        <f>B222</f>
        <v>1619.72</v>
      </c>
      <c r="D249" s="18">
        <f>E248</f>
        <v>0.23499999999999999</v>
      </c>
      <c r="E249" s="18">
        <f>IFERROR(C249*D249,0)</f>
        <v>380.63419999999996</v>
      </c>
      <c r="I249" s="85"/>
      <c r="J249" s="85"/>
    </row>
    <row r="250" spans="1:10" ht="13.5" thickBot="1">
      <c r="F250" s="21">
        <f>E249</f>
        <v>380.63419999999996</v>
      </c>
      <c r="I250" s="85"/>
      <c r="J250" s="85"/>
    </row>
    <row r="251" spans="1:10" ht="11.25" customHeight="1">
      <c r="I251" s="85"/>
      <c r="J251" s="85"/>
    </row>
    <row r="252" spans="1:10" ht="13.5" thickBot="1">
      <c r="A252" s="7" t="s">
        <v>321</v>
      </c>
      <c r="I252" s="85"/>
      <c r="J252" s="85"/>
    </row>
    <row r="253" spans="1:10" ht="13.5" thickBot="1">
      <c r="A253" s="60" t="s">
        <v>66</v>
      </c>
      <c r="B253" s="61" t="s">
        <v>67</v>
      </c>
      <c r="C253" s="61" t="s">
        <v>42</v>
      </c>
      <c r="D253" s="62" t="s">
        <v>260</v>
      </c>
      <c r="E253" s="62" t="s">
        <v>68</v>
      </c>
      <c r="F253" s="63" t="s">
        <v>69</v>
      </c>
      <c r="I253" s="85"/>
      <c r="J253" s="85"/>
    </row>
    <row r="254" spans="1:10" ht="13.5" thickBot="1">
      <c r="A254" s="312" t="s">
        <v>322</v>
      </c>
      <c r="B254" s="14" t="s">
        <v>10</v>
      </c>
      <c r="C254" s="96">
        <v>16</v>
      </c>
      <c r="D254" s="87">
        <v>56</v>
      </c>
      <c r="E254" s="15">
        <f>C254*D254</f>
        <v>896</v>
      </c>
      <c r="I254" s="85"/>
      <c r="J254" s="85"/>
    </row>
    <row r="255" spans="1:10" ht="13.5" thickBot="1">
      <c r="F255" s="21">
        <f>E254</f>
        <v>896</v>
      </c>
      <c r="I255" s="85"/>
      <c r="J255" s="85"/>
    </row>
    <row r="256" spans="1:10" ht="11.25" customHeight="1" thickBot="1">
      <c r="G256" s="9"/>
    </row>
    <row r="257" spans="1:7" ht="13.5" thickBot="1">
      <c r="A257" s="24" t="s">
        <v>248</v>
      </c>
      <c r="B257" s="25"/>
      <c r="C257" s="25"/>
      <c r="D257" s="26"/>
      <c r="E257" s="27"/>
      <c r="F257" s="21">
        <f>+SUM(F182:F256)</f>
        <v>6955.8304120100438</v>
      </c>
      <c r="G257" s="9"/>
    </row>
    <row r="258" spans="1:7" ht="11.25" customHeight="1">
      <c r="G258" s="9"/>
    </row>
    <row r="259" spans="1:7">
      <c r="A259" s="34" t="s">
        <v>78</v>
      </c>
      <c r="B259" s="34"/>
      <c r="C259" s="34"/>
      <c r="D259" s="35"/>
      <c r="E259" s="35"/>
      <c r="F259" s="33"/>
      <c r="G259" s="9"/>
    </row>
    <row r="260" spans="1:7" ht="11.25" customHeight="1" thickBot="1">
      <c r="G260" s="9"/>
    </row>
    <row r="261" spans="1:7" ht="13.5" thickBot="1">
      <c r="A261" s="60" t="s">
        <v>66</v>
      </c>
      <c r="B261" s="61" t="s">
        <v>67</v>
      </c>
      <c r="C261" s="61" t="s">
        <v>42</v>
      </c>
      <c r="D261" s="62" t="s">
        <v>260</v>
      </c>
      <c r="E261" s="62" t="s">
        <v>68</v>
      </c>
      <c r="F261" s="63" t="s">
        <v>69</v>
      </c>
      <c r="G261" s="9"/>
    </row>
    <row r="262" spans="1:7">
      <c r="A262" s="16" t="s">
        <v>75</v>
      </c>
      <c r="B262" s="17" t="s">
        <v>10</v>
      </c>
      <c r="C262" s="101">
        <v>0.16666666666666666</v>
      </c>
      <c r="D262" s="87">
        <v>42</v>
      </c>
      <c r="E262" s="18">
        <f>C262*D262</f>
        <v>7</v>
      </c>
      <c r="F262" s="55"/>
      <c r="G262" s="9"/>
    </row>
    <row r="263" spans="1:7">
      <c r="A263" s="16" t="s">
        <v>28</v>
      </c>
      <c r="B263" s="17" t="s">
        <v>10</v>
      </c>
      <c r="C263" s="101">
        <v>0.16666666666666666</v>
      </c>
      <c r="D263" s="87">
        <v>42</v>
      </c>
      <c r="E263" s="18">
        <f>C263*D263</f>
        <v>7</v>
      </c>
      <c r="F263" s="55"/>
      <c r="G263" s="9"/>
    </row>
    <row r="264" spans="1:7">
      <c r="A264" s="16" t="s">
        <v>29</v>
      </c>
      <c r="B264" s="17" t="s">
        <v>10</v>
      </c>
      <c r="C264" s="101">
        <v>1</v>
      </c>
      <c r="D264" s="87">
        <v>15</v>
      </c>
      <c r="E264" s="18">
        <f>C264*D264</f>
        <v>15</v>
      </c>
      <c r="F264" s="55"/>
      <c r="G264" s="9"/>
    </row>
    <row r="265" spans="1:7">
      <c r="A265" s="16" t="s">
        <v>59</v>
      </c>
      <c r="B265" s="17" t="s">
        <v>60</v>
      </c>
      <c r="C265" s="101">
        <v>0.16666666666666666</v>
      </c>
      <c r="D265" s="87">
        <v>18</v>
      </c>
      <c r="E265" s="18">
        <f>C265*D265</f>
        <v>3</v>
      </c>
      <c r="F265" s="55"/>
      <c r="G265" s="9"/>
    </row>
    <row r="266" spans="1:7" ht="13.5" thickBot="1">
      <c r="A266" s="16" t="s">
        <v>62</v>
      </c>
      <c r="B266" s="17" t="s">
        <v>60</v>
      </c>
      <c r="C266" s="101">
        <v>0.16666666666666666</v>
      </c>
      <c r="D266" s="87">
        <v>250</v>
      </c>
      <c r="E266" s="18">
        <f>C266*D266</f>
        <v>41.666666666666664</v>
      </c>
      <c r="F266" s="55"/>
      <c r="G266" s="9"/>
    </row>
    <row r="267" spans="1:7" ht="13.5" thickBot="1">
      <c r="A267" s="34"/>
      <c r="B267" s="34"/>
      <c r="C267" s="34"/>
      <c r="D267" s="34"/>
      <c r="E267" s="35"/>
      <c r="F267" s="21">
        <f>SUM(E262:E266)</f>
        <v>73.666666666666657</v>
      </c>
      <c r="G267" s="9"/>
    </row>
    <row r="268" spans="1:7" ht="11.25" customHeight="1" thickBot="1">
      <c r="G268" s="9"/>
    </row>
    <row r="269" spans="1:7" ht="13.5" thickBot="1">
      <c r="A269" s="24" t="s">
        <v>249</v>
      </c>
      <c r="B269" s="25"/>
      <c r="C269" s="25"/>
      <c r="D269" s="26"/>
      <c r="E269" s="27"/>
      <c r="F269" s="21">
        <f>+F267</f>
        <v>73.666666666666657</v>
      </c>
      <c r="G269" s="9"/>
    </row>
    <row r="270" spans="1:7" ht="11.25" customHeight="1">
      <c r="G270" s="9"/>
    </row>
    <row r="271" spans="1:7">
      <c r="A271" s="34" t="s">
        <v>79</v>
      </c>
      <c r="B271" s="34"/>
      <c r="C271" s="34"/>
      <c r="D271" s="35"/>
      <c r="E271" s="35"/>
      <c r="F271" s="33"/>
    </row>
    <row r="272" spans="1:7" ht="11.25" customHeight="1" thickBot="1"/>
    <row r="273" spans="1:7" ht="13.5" thickBot="1">
      <c r="A273" s="60" t="s">
        <v>66</v>
      </c>
      <c r="B273" s="61" t="s">
        <v>67</v>
      </c>
      <c r="C273" s="61" t="s">
        <v>42</v>
      </c>
      <c r="D273" s="62" t="s">
        <v>260</v>
      </c>
      <c r="E273" s="62" t="s">
        <v>68</v>
      </c>
      <c r="F273" s="63" t="s">
        <v>69</v>
      </c>
    </row>
    <row r="274" spans="1:7">
      <c r="A274" s="16" t="s">
        <v>246</v>
      </c>
      <c r="B274" s="53" t="s">
        <v>60</v>
      </c>
      <c r="C274" s="69">
        <f>C182</f>
        <v>1</v>
      </c>
      <c r="D274" s="89">
        <v>110</v>
      </c>
      <c r="E274" s="18">
        <f>+D274*C274</f>
        <v>110</v>
      </c>
      <c r="F274" s="55"/>
    </row>
    <row r="275" spans="1:7">
      <c r="A275" s="16" t="s">
        <v>63</v>
      </c>
      <c r="B275" s="53" t="s">
        <v>8</v>
      </c>
      <c r="C275" s="156">
        <v>60</v>
      </c>
      <c r="D275" s="80">
        <f>SUM(E274:E274)</f>
        <v>110</v>
      </c>
      <c r="E275" s="80">
        <f>+D275/C275</f>
        <v>1.8333333333333333</v>
      </c>
      <c r="F275" s="55"/>
    </row>
    <row r="276" spans="1:7">
      <c r="A276" s="16" t="s">
        <v>247</v>
      </c>
      <c r="B276" s="17" t="s">
        <v>10</v>
      </c>
      <c r="C276" s="69">
        <f>+C274</f>
        <v>1</v>
      </c>
      <c r="D276" s="89">
        <v>480</v>
      </c>
      <c r="E276" s="18">
        <f>C276*D276</f>
        <v>480</v>
      </c>
      <c r="F276" s="55"/>
    </row>
    <row r="277" spans="1:7" ht="13.5" thickBot="1">
      <c r="A277" s="16" t="s">
        <v>39</v>
      </c>
      <c r="B277" s="53" t="s">
        <v>8</v>
      </c>
      <c r="C277" s="156">
        <v>1</v>
      </c>
      <c r="D277" s="80">
        <f>+E276</f>
        <v>480</v>
      </c>
      <c r="E277" s="80">
        <f>+D277/C277</f>
        <v>480</v>
      </c>
      <c r="F277" s="55"/>
    </row>
    <row r="278" spans="1:7" ht="13.5" thickBot="1">
      <c r="A278" s="81"/>
      <c r="B278" s="81"/>
      <c r="C278" s="81"/>
      <c r="D278" s="124" t="s">
        <v>210</v>
      </c>
      <c r="E278" s="50">
        <f>$B$48</f>
        <v>0.36359999999999998</v>
      </c>
      <c r="F278" s="82">
        <f>(E275+E277)*E278</f>
        <v>175.19459999999998</v>
      </c>
    </row>
    <row r="279" spans="1:7" s="51" customFormat="1" ht="11.25" customHeight="1" thickBot="1">
      <c r="A279" s="9"/>
      <c r="B279" s="9"/>
      <c r="C279" s="9"/>
      <c r="D279" s="10"/>
      <c r="E279" s="10"/>
      <c r="F279" s="10"/>
      <c r="G279" s="84"/>
    </row>
    <row r="280" spans="1:7" ht="13.5" thickBot="1">
      <c r="A280" s="24" t="s">
        <v>245</v>
      </c>
      <c r="B280" s="25"/>
      <c r="C280" s="25"/>
      <c r="D280" s="26"/>
      <c r="E280" s="27"/>
      <c r="F280" s="21">
        <f>+F278</f>
        <v>175.19459999999998</v>
      </c>
    </row>
    <row r="281" spans="1:7" ht="11.25" customHeight="1" thickBot="1"/>
    <row r="282" spans="1:7" ht="17.25" customHeight="1" thickBot="1">
      <c r="A282" s="24" t="s">
        <v>250</v>
      </c>
      <c r="B282" s="28"/>
      <c r="C282" s="28"/>
      <c r="D282" s="29"/>
      <c r="E282" s="30"/>
      <c r="F282" s="22">
        <f>+F140+F174+F257+F269+F280</f>
        <v>11073.481151423512</v>
      </c>
    </row>
    <row r="283" spans="1:7" ht="11.25" customHeight="1"/>
    <row r="284" spans="1:7">
      <c r="A284" s="11" t="s">
        <v>94</v>
      </c>
    </row>
    <row r="285" spans="1:7" ht="11.25" customHeight="1" thickBot="1"/>
    <row r="286" spans="1:7" ht="13.5" thickBot="1">
      <c r="A286" s="60" t="s">
        <v>66</v>
      </c>
      <c r="B286" s="61" t="s">
        <v>67</v>
      </c>
      <c r="C286" s="61" t="s">
        <v>42</v>
      </c>
      <c r="D286" s="62" t="s">
        <v>260</v>
      </c>
      <c r="E286" s="62" t="s">
        <v>68</v>
      </c>
      <c r="F286" s="63" t="s">
        <v>69</v>
      </c>
    </row>
    <row r="287" spans="1:7" ht="13.5" thickBot="1">
      <c r="A287" s="13" t="s">
        <v>38</v>
      </c>
      <c r="B287" s="14" t="s">
        <v>2</v>
      </c>
      <c r="C287" s="142">
        <f>'4.BDI'!C18*100</f>
        <v>21.4</v>
      </c>
      <c r="D287" s="15">
        <f>+F282</f>
        <v>11073.481151423512</v>
      </c>
      <c r="E287" s="15">
        <f>C287*D287/100</f>
        <v>2369.7249664046312</v>
      </c>
    </row>
    <row r="288" spans="1:7" ht="13.5" thickBot="1">
      <c r="F288" s="21">
        <f>+E287</f>
        <v>2369.7249664046312</v>
      </c>
    </row>
    <row r="289" spans="1:7" ht="11.25" customHeight="1" thickBot="1"/>
    <row r="290" spans="1:7" ht="13.5" thickBot="1">
      <c r="A290" s="24" t="s">
        <v>265</v>
      </c>
      <c r="B290" s="28"/>
      <c r="C290" s="28"/>
      <c r="D290" s="29"/>
      <c r="E290" s="30"/>
      <c r="F290" s="22">
        <f>F288</f>
        <v>2369.7249664046312</v>
      </c>
    </row>
    <row r="291" spans="1:7">
      <c r="A291" s="34"/>
      <c r="B291" s="34"/>
      <c r="C291" s="34"/>
      <c r="D291" s="35"/>
      <c r="E291" s="35"/>
      <c r="F291" s="33"/>
    </row>
    <row r="292" spans="1:7" ht="11.25" customHeight="1" thickBot="1"/>
    <row r="293" spans="1:7" ht="24.75" customHeight="1" thickBot="1">
      <c r="A293" s="24" t="s">
        <v>251</v>
      </c>
      <c r="B293" s="28"/>
      <c r="C293" s="28"/>
      <c r="D293" s="29" t="s">
        <v>146</v>
      </c>
      <c r="E293" s="30"/>
      <c r="F293" s="22">
        <f>F282+F290</f>
        <v>13443.206117828144</v>
      </c>
    </row>
    <row r="294" spans="1:7" ht="12.6" customHeight="1">
      <c r="A294" s="56"/>
      <c r="B294" s="56"/>
      <c r="C294" s="56"/>
      <c r="D294" s="57"/>
      <c r="E294" s="57"/>
      <c r="F294" s="57"/>
    </row>
    <row r="295" spans="1:7" ht="14.25">
      <c r="A295" s="8"/>
      <c r="B295" s="8"/>
      <c r="C295" s="8"/>
      <c r="D295" s="36"/>
      <c r="E295" s="36"/>
    </row>
    <row r="296" spans="1:7" ht="16.149999999999999" customHeight="1">
      <c r="A296" s="256" t="s">
        <v>244</v>
      </c>
      <c r="B296" s="257"/>
      <c r="C296" s="257"/>
      <c r="D296" s="258">
        <v>15</v>
      </c>
      <c r="E296" s="259" t="s">
        <v>27</v>
      </c>
      <c r="G296" s="10" t="s">
        <v>220</v>
      </c>
    </row>
    <row r="297" spans="1:7" ht="13.5" thickBot="1"/>
    <row r="298" spans="1:7" ht="25.5" customHeight="1" thickBot="1">
      <c r="A298" s="24" t="s">
        <v>73</v>
      </c>
      <c r="B298" s="25"/>
      <c r="C298" s="25"/>
      <c r="D298" s="26"/>
      <c r="E298" s="260" t="s">
        <v>34</v>
      </c>
      <c r="F298" s="261">
        <f>IFERROR(F293/D296,"-")</f>
        <v>896.21374118854294</v>
      </c>
      <c r="G298" s="10" t="s">
        <v>220</v>
      </c>
    </row>
    <row r="299" spans="1:7" ht="12.6" customHeight="1">
      <c r="A299" s="34"/>
      <c r="B299" s="34"/>
      <c r="C299" s="34"/>
      <c r="D299" s="35"/>
      <c r="E299" s="35"/>
      <c r="F299" s="35"/>
    </row>
    <row r="300" spans="1:7" s="4" customFormat="1" ht="9.75" customHeight="1">
      <c r="A300" s="39"/>
      <c r="B300" s="10"/>
      <c r="C300" s="10"/>
      <c r="D300" s="10"/>
      <c r="E300" s="10"/>
      <c r="F300" s="10"/>
      <c r="G300" s="6"/>
    </row>
    <row r="301" spans="1:7" s="4" customFormat="1" ht="9.75" customHeight="1">
      <c r="A301" s="39"/>
      <c r="B301" s="10"/>
      <c r="C301" s="10"/>
      <c r="D301" s="10"/>
      <c r="E301" s="10"/>
      <c r="F301" s="10"/>
      <c r="G301" s="6"/>
    </row>
    <row r="302" spans="1:7" s="4" customFormat="1" ht="9.75" customHeight="1">
      <c r="A302" s="39"/>
      <c r="B302" s="10"/>
      <c r="C302" s="10"/>
      <c r="D302" s="10"/>
      <c r="E302" s="10"/>
      <c r="F302" s="10"/>
      <c r="G302" s="6"/>
    </row>
    <row r="332" spans="4:7" ht="9" customHeight="1">
      <c r="D332" s="9"/>
      <c r="E332" s="9"/>
      <c r="F332" s="9"/>
      <c r="G332" s="9"/>
    </row>
  </sheetData>
  <mergeCells count="7">
    <mergeCell ref="A44:D44"/>
    <mergeCell ref="A21:C21"/>
    <mergeCell ref="A8:F8"/>
    <mergeCell ref="A9:F9"/>
    <mergeCell ref="A37:D37"/>
    <mergeCell ref="A11:F11"/>
    <mergeCell ref="A36:E36"/>
  </mergeCells>
  <phoneticPr fontId="9" type="noConversion"/>
  <hyperlinks>
    <hyperlink ref="A196" location="AbaRemun" display="3.1.2. Remuneração do Capital"/>
    <hyperlink ref="A180" location="AbaDeprec" display="3.1.1. Depreciação"/>
  </hyperlinks>
  <pageMargins left="0.31496062992125984" right="0.31496062992125984" top="0.74803149606299213" bottom="0.74803149606299213" header="0.31496062992125984" footer="0.31496062992125984"/>
  <pageSetup paperSize="9" scale="85" fitToHeight="0" orientation="portrait" r:id="rId1"/>
  <headerFooter scaleWithDoc="0" alignWithMargins="0">
    <oddFooter>&amp;R&amp;P de &amp;N</oddFooter>
  </headerFooter>
  <rowBreaks count="5" manualBreakCount="5">
    <brk id="49" max="16383" man="1"/>
    <brk id="98" max="5" man="1"/>
    <brk id="119" max="16383" man="1"/>
    <brk id="175" max="16383" man="1"/>
    <brk id="237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5"/>
  <sheetViews>
    <sheetView workbookViewId="0">
      <selection activeCell="D8" sqref="D8"/>
    </sheetView>
  </sheetViews>
  <sheetFormatPr defaultRowHeight="12.75"/>
  <cols>
    <col min="1" max="1" width="13.5703125" style="1" customWidth="1"/>
    <col min="2" max="2" width="36.7109375" style="1" bestFit="1" customWidth="1"/>
    <col min="3" max="3" width="14.5703125" style="1" customWidth="1"/>
    <col min="4" max="4" width="37.28515625" style="159" customWidth="1"/>
    <col min="5" max="10" width="9.140625" style="1"/>
    <col min="11" max="11" width="11" style="1" bestFit="1" customWidth="1"/>
    <col min="12" max="16384" width="9.140625" style="1"/>
  </cols>
  <sheetData>
    <row r="1" spans="1:12">
      <c r="A1" s="11" t="s">
        <v>218</v>
      </c>
    </row>
    <row r="2" spans="1:12">
      <c r="A2" s="141" t="s">
        <v>272</v>
      </c>
    </row>
    <row r="3" spans="1:12" ht="13.5" thickBot="1"/>
    <row r="4" spans="1:12" ht="18">
      <c r="A4" s="329" t="s">
        <v>254</v>
      </c>
      <c r="B4" s="330"/>
      <c r="C4" s="331"/>
      <c r="D4" s="151"/>
      <c r="E4" s="151"/>
      <c r="F4" s="151"/>
    </row>
    <row r="5" spans="1:12" ht="14.25">
      <c r="A5" s="172" t="s">
        <v>155</v>
      </c>
      <c r="B5" s="173" t="s">
        <v>156</v>
      </c>
      <c r="C5" s="174" t="s">
        <v>157</v>
      </c>
      <c r="D5" s="175"/>
    </row>
    <row r="6" spans="1:12" ht="14.25">
      <c r="A6" s="172" t="s">
        <v>158</v>
      </c>
      <c r="B6" s="173" t="s">
        <v>43</v>
      </c>
      <c r="C6" s="176">
        <v>0.2</v>
      </c>
      <c r="D6" s="175"/>
      <c r="F6" s="159"/>
      <c r="G6" s="159"/>
      <c r="H6" s="159"/>
      <c r="I6" s="159"/>
      <c r="J6" s="159"/>
      <c r="K6" s="159"/>
      <c r="L6" s="159"/>
    </row>
    <row r="7" spans="1:12" ht="14.25">
      <c r="A7" s="172" t="s">
        <v>159</v>
      </c>
      <c r="B7" s="173" t="s">
        <v>160</v>
      </c>
      <c r="C7" s="176">
        <v>1.4999999999999999E-2</v>
      </c>
      <c r="D7" s="175"/>
      <c r="F7" s="159"/>
      <c r="G7" s="159"/>
      <c r="H7" s="159"/>
      <c r="I7" s="159"/>
      <c r="J7" s="159"/>
      <c r="K7" s="159"/>
      <c r="L7" s="159"/>
    </row>
    <row r="8" spans="1:12" ht="14.25">
      <c r="A8" s="172" t="s">
        <v>161</v>
      </c>
      <c r="B8" s="173" t="s">
        <v>162</v>
      </c>
      <c r="C8" s="176">
        <v>0.01</v>
      </c>
      <c r="D8" s="175"/>
      <c r="F8" s="159"/>
      <c r="G8" s="159"/>
      <c r="H8" s="159"/>
      <c r="I8" s="159"/>
      <c r="J8" s="159"/>
      <c r="K8" s="159"/>
      <c r="L8" s="159"/>
    </row>
    <row r="9" spans="1:12" ht="14.25">
      <c r="A9" s="172" t="s">
        <v>163</v>
      </c>
      <c r="B9" s="173" t="s">
        <v>164</v>
      </c>
      <c r="C9" s="176">
        <v>2E-3</v>
      </c>
      <c r="D9" s="175"/>
      <c r="F9" s="159"/>
      <c r="G9" s="159"/>
      <c r="H9" s="159"/>
      <c r="I9" s="159"/>
      <c r="J9" s="159"/>
      <c r="K9" s="159"/>
      <c r="L9" s="159"/>
    </row>
    <row r="10" spans="1:12" ht="14.25">
      <c r="A10" s="172" t="s">
        <v>165</v>
      </c>
      <c r="B10" s="173" t="s">
        <v>166</v>
      </c>
      <c r="C10" s="176">
        <v>6.0000000000000001E-3</v>
      </c>
      <c r="D10" s="175"/>
      <c r="F10" s="159"/>
      <c r="G10" s="159"/>
      <c r="H10" s="159"/>
      <c r="I10" s="159"/>
      <c r="J10" s="159"/>
      <c r="K10" s="159"/>
      <c r="L10" s="159"/>
    </row>
    <row r="11" spans="1:12" ht="14.25">
      <c r="A11" s="172" t="s">
        <v>167</v>
      </c>
      <c r="B11" s="173" t="s">
        <v>168</v>
      </c>
      <c r="C11" s="176">
        <v>2.5000000000000001E-2</v>
      </c>
      <c r="D11" s="175"/>
      <c r="F11" s="159"/>
      <c r="G11" s="159"/>
      <c r="H11" s="159"/>
      <c r="I11" s="159"/>
      <c r="J11" s="159"/>
      <c r="K11" s="159"/>
      <c r="L11" s="159"/>
    </row>
    <row r="12" spans="1:12" ht="14.25">
      <c r="A12" s="172" t="s">
        <v>169</v>
      </c>
      <c r="B12" s="173" t="s">
        <v>170</v>
      </c>
      <c r="C12" s="176">
        <v>0.03</v>
      </c>
      <c r="D12" s="175"/>
      <c r="F12" s="159"/>
      <c r="G12" s="159"/>
      <c r="H12" s="159"/>
      <c r="I12" s="159"/>
      <c r="J12" s="159"/>
      <c r="K12" s="159"/>
      <c r="L12" s="159"/>
    </row>
    <row r="13" spans="1:12" ht="14.25">
      <c r="A13" s="172" t="s">
        <v>171</v>
      </c>
      <c r="B13" s="173" t="s">
        <v>44</v>
      </c>
      <c r="C13" s="176">
        <v>0.08</v>
      </c>
      <c r="D13" s="177"/>
      <c r="F13" s="159"/>
      <c r="G13" s="159"/>
      <c r="H13" s="159"/>
      <c r="I13" s="159"/>
      <c r="J13" s="159"/>
      <c r="K13" s="159"/>
      <c r="L13" s="159"/>
    </row>
    <row r="14" spans="1:12" ht="15">
      <c r="A14" s="172" t="s">
        <v>172</v>
      </c>
      <c r="B14" s="178" t="s">
        <v>173</v>
      </c>
      <c r="C14" s="179">
        <f>SUM(C6:C13)</f>
        <v>0.36800000000000005</v>
      </c>
      <c r="D14" s="177"/>
      <c r="F14" s="159"/>
      <c r="G14" s="159"/>
      <c r="H14" s="159"/>
      <c r="I14" s="159"/>
      <c r="J14" s="159"/>
      <c r="K14" s="159"/>
      <c r="L14" s="159"/>
    </row>
    <row r="15" spans="1:12" ht="15">
      <c r="A15" s="180"/>
      <c r="B15" s="181"/>
      <c r="C15" s="182"/>
      <c r="D15" s="177"/>
      <c r="F15" s="159"/>
      <c r="G15" s="159"/>
      <c r="H15" s="159"/>
      <c r="I15" s="159"/>
      <c r="J15" s="159"/>
      <c r="K15" s="159"/>
      <c r="L15" s="159"/>
    </row>
    <row r="16" spans="1:12" ht="14.25">
      <c r="A16" s="172" t="s">
        <v>174</v>
      </c>
      <c r="B16" s="183" t="s">
        <v>175</v>
      </c>
      <c r="C16" s="176">
        <f>ROUND(IF('3.CAGED'!C39&gt;24,(1-12/'3.CAGED'!C39)*0.1111,0.1111-C25),4)</f>
        <v>6.25E-2</v>
      </c>
      <c r="D16" s="177"/>
      <c r="F16" s="159"/>
      <c r="G16" s="159"/>
      <c r="H16" s="159"/>
      <c r="I16" s="159"/>
      <c r="J16" s="159"/>
      <c r="K16" s="159"/>
      <c r="L16" s="159"/>
    </row>
    <row r="17" spans="1:12" ht="14.25">
      <c r="A17" s="172" t="s">
        <v>176</v>
      </c>
      <c r="B17" s="183" t="s">
        <v>177</v>
      </c>
      <c r="C17" s="176">
        <f>ROUND('3.CAGED'!C33/'3.CAGED'!C30,4)</f>
        <v>8.3299999999999999E-2</v>
      </c>
      <c r="D17" s="177"/>
      <c r="F17" s="159"/>
      <c r="G17" s="159"/>
      <c r="H17" s="159"/>
      <c r="I17" s="159"/>
      <c r="J17" s="159"/>
      <c r="K17" s="159"/>
      <c r="L17" s="159"/>
    </row>
    <row r="18" spans="1:12" ht="14.25">
      <c r="A18" s="172" t="s">
        <v>242</v>
      </c>
      <c r="B18" s="183" t="s">
        <v>179</v>
      </c>
      <c r="C18" s="176">
        <v>5.9999999999999995E-4</v>
      </c>
      <c r="D18" s="177"/>
      <c r="F18" s="159"/>
      <c r="G18" s="159"/>
      <c r="H18" s="159"/>
      <c r="I18" s="159"/>
      <c r="J18" s="159"/>
      <c r="K18" s="159"/>
      <c r="L18" s="159"/>
    </row>
    <row r="19" spans="1:12" ht="14.25">
      <c r="A19" s="172" t="s">
        <v>178</v>
      </c>
      <c r="B19" s="183" t="s">
        <v>181</v>
      </c>
      <c r="C19" s="176">
        <v>8.2000000000000007E-3</v>
      </c>
      <c r="D19" s="177"/>
      <c r="F19" s="159"/>
      <c r="G19" s="159"/>
      <c r="H19" s="159"/>
      <c r="I19" s="159"/>
      <c r="J19" s="159"/>
      <c r="K19" s="159"/>
      <c r="L19" s="159"/>
    </row>
    <row r="20" spans="1:12" ht="14.25">
      <c r="A20" s="172" t="s">
        <v>180</v>
      </c>
      <c r="B20" s="183" t="s">
        <v>183</v>
      </c>
      <c r="C20" s="176">
        <v>3.0999999999999999E-3</v>
      </c>
      <c r="D20" s="177"/>
      <c r="F20" s="159"/>
      <c r="G20" s="159"/>
      <c r="H20" s="159"/>
      <c r="I20" s="159"/>
      <c r="J20" s="159"/>
      <c r="K20" s="159"/>
      <c r="L20" s="159"/>
    </row>
    <row r="21" spans="1:12" ht="14.25">
      <c r="A21" s="172" t="s">
        <v>182</v>
      </c>
      <c r="B21" s="183" t="s">
        <v>184</v>
      </c>
      <c r="C21" s="176">
        <v>1.66E-2</v>
      </c>
      <c r="D21" s="177"/>
      <c r="F21" s="159"/>
      <c r="G21" s="159"/>
      <c r="H21" s="159"/>
      <c r="I21" s="159"/>
      <c r="J21" s="159"/>
      <c r="K21" s="159"/>
      <c r="L21" s="159"/>
    </row>
    <row r="22" spans="1:12" ht="15">
      <c r="A22" s="172" t="s">
        <v>185</v>
      </c>
      <c r="B22" s="178" t="s">
        <v>186</v>
      </c>
      <c r="C22" s="179">
        <f>SUM(C16:C21)</f>
        <v>0.17429999999999998</v>
      </c>
      <c r="D22" s="184"/>
      <c r="F22" s="159"/>
      <c r="G22" s="159"/>
      <c r="H22" s="159"/>
      <c r="I22" s="159"/>
      <c r="J22" s="159"/>
      <c r="K22" s="159"/>
      <c r="L22" s="159"/>
    </row>
    <row r="23" spans="1:12" ht="15">
      <c r="A23" s="180"/>
      <c r="B23" s="181"/>
      <c r="C23" s="182"/>
      <c r="D23" s="184"/>
      <c r="F23" s="159"/>
      <c r="G23" s="159"/>
      <c r="H23" s="159"/>
      <c r="I23" s="159"/>
      <c r="J23" s="159"/>
      <c r="K23" s="159"/>
      <c r="L23" s="159"/>
    </row>
    <row r="24" spans="1:12" ht="14.25">
      <c r="A24" s="172" t="s">
        <v>187</v>
      </c>
      <c r="B24" s="173" t="s">
        <v>188</v>
      </c>
      <c r="C24" s="176">
        <f>ROUND(('3.CAGED'!C38) *'3.CAGED'!C29/'3.CAGED'!C30,4)</f>
        <v>3.6600000000000001E-2</v>
      </c>
      <c r="D24" s="177"/>
      <c r="E24" s="185"/>
      <c r="F24" s="159"/>
      <c r="G24" s="159"/>
      <c r="H24" s="159"/>
      <c r="I24" s="159"/>
      <c r="J24" s="159"/>
      <c r="K24" s="159"/>
      <c r="L24" s="159"/>
    </row>
    <row r="25" spans="1:12" ht="14.25">
      <c r="A25" s="172" t="s">
        <v>241</v>
      </c>
      <c r="B25" s="173" t="s">
        <v>190</v>
      </c>
      <c r="C25" s="176">
        <f>ROUND(IF('3.CAGED'!C39&gt;12,12/'3.CAGED'!C39*0.1111,0.1111),4)</f>
        <v>4.8599999999999997E-2</v>
      </c>
      <c r="D25" s="177"/>
      <c r="F25" s="159"/>
      <c r="G25" s="159"/>
      <c r="H25" s="186"/>
      <c r="I25" s="159"/>
      <c r="J25" s="159"/>
      <c r="K25" s="159"/>
      <c r="L25" s="159"/>
    </row>
    <row r="26" spans="1:12" ht="14.25">
      <c r="A26" s="172" t="s">
        <v>189</v>
      </c>
      <c r="B26" s="173" t="s">
        <v>192</v>
      </c>
      <c r="C26" s="176">
        <f>ROUND(('3.CAGED'!C32+'3.CAGED'!C31)/360*C24,4)</f>
        <v>4.1000000000000003E-3</v>
      </c>
      <c r="D26" s="177"/>
      <c r="F26" s="159"/>
      <c r="G26" s="159"/>
      <c r="H26" s="159"/>
      <c r="I26" s="159"/>
      <c r="J26" s="159"/>
      <c r="K26" s="159"/>
      <c r="L26" s="159"/>
    </row>
    <row r="27" spans="1:12" ht="14.25">
      <c r="A27" s="172" t="s">
        <v>191</v>
      </c>
      <c r="B27" s="173" t="s">
        <v>194</v>
      </c>
      <c r="C27" s="176">
        <f>ROUND(('3.CAGED'!C30+'3.CAGED'!C31+'3.CAGED'!C33)/'3.CAGED'!C28*'3.CAGED'!C35*'3.CAGED'!C36*'3.CAGED'!C29/'3.CAGED'!C30,4)</f>
        <v>3.7199999999999997E-2</v>
      </c>
      <c r="D27" s="177"/>
      <c r="F27" s="159"/>
      <c r="G27" s="187"/>
      <c r="H27" s="159"/>
      <c r="I27" s="159"/>
      <c r="J27" s="159"/>
      <c r="K27" s="159"/>
      <c r="L27" s="159"/>
    </row>
    <row r="28" spans="1:12" ht="14.25">
      <c r="A28" s="172" t="s">
        <v>193</v>
      </c>
      <c r="B28" s="173" t="s">
        <v>195</v>
      </c>
      <c r="C28" s="176">
        <f>ROUND(('3.CAGED'!C32/'3.CAGED'!C30)*'3.CAGED'!C29/12,4)</f>
        <v>2.5000000000000001E-3</v>
      </c>
      <c r="D28" s="177"/>
      <c r="F28" s="159"/>
      <c r="G28" s="159"/>
      <c r="H28" s="159"/>
      <c r="I28" s="159"/>
      <c r="J28" s="159"/>
      <c r="K28" s="159"/>
      <c r="L28" s="159"/>
    </row>
    <row r="29" spans="1:12" ht="15">
      <c r="A29" s="172" t="s">
        <v>196</v>
      </c>
      <c r="B29" s="178" t="s">
        <v>197</v>
      </c>
      <c r="C29" s="179">
        <f>SUM(C24:C28)</f>
        <v>0.129</v>
      </c>
      <c r="D29" s="184"/>
      <c r="F29" s="159"/>
      <c r="G29" s="159"/>
      <c r="H29" s="159"/>
      <c r="I29" s="159"/>
      <c r="J29" s="159"/>
      <c r="K29" s="159"/>
      <c r="L29" s="159"/>
    </row>
    <row r="30" spans="1:12" ht="15">
      <c r="A30" s="180"/>
      <c r="B30" s="181"/>
      <c r="C30" s="182"/>
      <c r="D30" s="184"/>
      <c r="F30" s="159"/>
      <c r="G30" s="159"/>
      <c r="H30" s="159"/>
      <c r="I30" s="159"/>
      <c r="J30" s="159"/>
      <c r="K30" s="159"/>
      <c r="L30" s="159"/>
    </row>
    <row r="31" spans="1:12" ht="14.25">
      <c r="A31" s="172" t="s">
        <v>198</v>
      </c>
      <c r="B31" s="173" t="s">
        <v>199</v>
      </c>
      <c r="C31" s="176">
        <f>ROUND(C14*C22,4)</f>
        <v>6.4100000000000004E-2</v>
      </c>
      <c r="D31" s="177"/>
      <c r="F31" s="159"/>
      <c r="G31" s="159"/>
      <c r="H31" s="159"/>
      <c r="I31" s="159"/>
      <c r="J31" s="159"/>
      <c r="K31" s="159"/>
      <c r="L31" s="159"/>
    </row>
    <row r="32" spans="1:12" ht="28.5">
      <c r="A32" s="172" t="s">
        <v>200</v>
      </c>
      <c r="B32" s="188" t="s">
        <v>201</v>
      </c>
      <c r="C32" s="176">
        <f>ROUND((C24*C14),4)</f>
        <v>1.35E-2</v>
      </c>
      <c r="D32" s="177"/>
      <c r="F32" s="159"/>
      <c r="G32" s="159"/>
      <c r="H32" s="159"/>
      <c r="I32" s="159"/>
      <c r="J32" s="159"/>
      <c r="K32" s="159"/>
      <c r="L32" s="159"/>
    </row>
    <row r="33" spans="1:12" ht="15">
      <c r="A33" s="172" t="s">
        <v>202</v>
      </c>
      <c r="B33" s="178" t="s">
        <v>203</v>
      </c>
      <c r="C33" s="179">
        <f>SUM(C31:C32)</f>
        <v>7.7600000000000002E-2</v>
      </c>
      <c r="D33" s="189"/>
      <c r="F33" s="159"/>
      <c r="G33" s="159"/>
      <c r="H33" s="159"/>
      <c r="I33" s="159"/>
      <c r="J33" s="159"/>
      <c r="K33" s="159"/>
      <c r="L33" s="159"/>
    </row>
    <row r="34" spans="1:12" ht="15.75" thickBot="1">
      <c r="A34" s="190"/>
      <c r="B34" s="191" t="s">
        <v>204</v>
      </c>
      <c r="C34" s="192">
        <f>C33+C29+C22+C14</f>
        <v>0.74890000000000012</v>
      </c>
      <c r="D34" s="189"/>
      <c r="F34" s="159"/>
      <c r="G34" s="159"/>
      <c r="H34" s="159"/>
      <c r="I34" s="159"/>
      <c r="J34" s="159"/>
      <c r="K34" s="159"/>
      <c r="L34" s="159"/>
    </row>
    <row r="35" spans="1:12" ht="15">
      <c r="A35" s="177"/>
      <c r="B35" s="193"/>
      <c r="C35" s="194"/>
      <c r="D35" s="195"/>
      <c r="F35" s="159"/>
      <c r="G35" s="159"/>
      <c r="H35" s="159"/>
      <c r="I35" s="159"/>
      <c r="J35" s="159"/>
      <c r="K35" s="159"/>
      <c r="L35" s="159"/>
    </row>
    <row r="36" spans="1:12" ht="14.25">
      <c r="A36" s="177"/>
      <c r="B36" s="177"/>
      <c r="C36" s="196"/>
      <c r="D36" s="197"/>
      <c r="F36" s="159"/>
      <c r="G36" s="159"/>
      <c r="H36" s="159"/>
      <c r="I36" s="159"/>
      <c r="J36" s="159"/>
      <c r="K36" s="159"/>
      <c r="L36" s="159"/>
    </row>
    <row r="37" spans="1:12" ht="14.25">
      <c r="A37" s="175"/>
      <c r="B37" s="175"/>
      <c r="C37" s="198"/>
      <c r="D37" s="175"/>
      <c r="F37" s="159"/>
      <c r="G37" s="159"/>
      <c r="H37" s="159"/>
      <c r="I37" s="159"/>
      <c r="J37" s="159"/>
      <c r="K37" s="159"/>
      <c r="L37" s="159"/>
    </row>
    <row r="38" spans="1:12" ht="14.25">
      <c r="A38" s="175"/>
      <c r="B38" s="175"/>
      <c r="C38" s="198"/>
      <c r="D38" s="175"/>
      <c r="F38" s="159"/>
      <c r="G38" s="159"/>
      <c r="H38" s="159"/>
      <c r="I38" s="159"/>
      <c r="J38" s="159"/>
      <c r="K38" s="159"/>
      <c r="L38" s="159"/>
    </row>
    <row r="39" spans="1:12" ht="14.25">
      <c r="A39" s="175"/>
      <c r="B39" s="175"/>
      <c r="C39" s="198"/>
      <c r="D39" s="175"/>
      <c r="F39" s="159"/>
      <c r="G39" s="159"/>
      <c r="H39" s="159"/>
      <c r="I39" s="159"/>
      <c r="J39" s="159"/>
      <c r="K39" s="159"/>
      <c r="L39" s="159"/>
    </row>
    <row r="40" spans="1:12" ht="15">
      <c r="A40" s="175"/>
      <c r="B40" s="199"/>
      <c r="C40" s="200"/>
      <c r="D40" s="175"/>
      <c r="F40" s="159"/>
      <c r="G40" s="159"/>
      <c r="H40" s="159"/>
      <c r="I40" s="159"/>
      <c r="J40" s="159"/>
      <c r="K40" s="159"/>
      <c r="L40" s="159"/>
    </row>
    <row r="41" spans="1:12" ht="15">
      <c r="A41" s="189"/>
      <c r="B41" s="199"/>
      <c r="C41" s="200"/>
      <c r="D41" s="189"/>
      <c r="E41" s="159"/>
      <c r="F41" s="159"/>
      <c r="G41" s="159"/>
      <c r="H41" s="159"/>
      <c r="I41" s="159"/>
      <c r="J41" s="159"/>
      <c r="K41" s="159"/>
      <c r="L41" s="159"/>
    </row>
    <row r="42" spans="1:12" ht="16.5">
      <c r="A42" s="201"/>
      <c r="B42" s="159"/>
      <c r="C42" s="159"/>
      <c r="E42" s="159"/>
      <c r="F42" s="159"/>
      <c r="G42" s="159"/>
      <c r="H42" s="159"/>
      <c r="I42" s="159"/>
      <c r="J42" s="159"/>
      <c r="K42" s="159"/>
      <c r="L42" s="159"/>
    </row>
    <row r="43" spans="1:12">
      <c r="A43" s="202"/>
      <c r="B43" s="203"/>
      <c r="C43" s="203"/>
      <c r="E43" s="159"/>
      <c r="F43" s="159"/>
      <c r="G43" s="159"/>
      <c r="H43" s="159"/>
      <c r="I43" s="159"/>
      <c r="J43" s="159"/>
      <c r="K43" s="159"/>
      <c r="L43" s="159"/>
    </row>
    <row r="44" spans="1:12" ht="14.25">
      <c r="A44" s="175"/>
      <c r="B44" s="204"/>
      <c r="C44" s="203"/>
      <c r="E44" s="159"/>
      <c r="F44" s="159"/>
      <c r="G44" s="159"/>
      <c r="H44" s="159"/>
      <c r="I44" s="159"/>
      <c r="J44" s="159"/>
      <c r="K44" s="159"/>
      <c r="L44" s="159"/>
    </row>
    <row r="45" spans="1:12" ht="14.25">
      <c r="A45" s="175"/>
      <c r="B45" s="204"/>
      <c r="C45" s="175"/>
      <c r="E45" s="159"/>
      <c r="F45" s="159"/>
      <c r="G45" s="159"/>
      <c r="H45" s="159"/>
      <c r="I45" s="159"/>
      <c r="J45" s="159"/>
      <c r="K45" s="159"/>
      <c r="L45" s="159"/>
    </row>
    <row r="46" spans="1:12" ht="14.25">
      <c r="A46" s="175"/>
      <c r="B46" s="198"/>
      <c r="C46" s="203"/>
      <c r="E46" s="159"/>
      <c r="F46" s="159"/>
      <c r="G46" s="159"/>
      <c r="H46" s="159"/>
      <c r="I46" s="159"/>
      <c r="J46" s="159"/>
      <c r="K46" s="159"/>
      <c r="L46" s="159"/>
    </row>
    <row r="47" spans="1:12" ht="14.25">
      <c r="A47" s="175"/>
      <c r="B47" s="204"/>
      <c r="C47" s="175"/>
      <c r="E47" s="159"/>
      <c r="F47" s="159"/>
      <c r="G47" s="159"/>
      <c r="H47" s="159"/>
      <c r="I47" s="159"/>
      <c r="J47" s="159"/>
      <c r="K47" s="159"/>
      <c r="L47" s="159"/>
    </row>
    <row r="48" spans="1:12" ht="14.25">
      <c r="A48" s="175"/>
      <c r="B48" s="198"/>
      <c r="C48" s="203"/>
      <c r="E48" s="159"/>
      <c r="F48" s="159"/>
      <c r="G48" s="159"/>
      <c r="H48" s="159"/>
      <c r="I48" s="159"/>
      <c r="J48" s="159"/>
      <c r="K48" s="159"/>
      <c r="L48" s="159"/>
    </row>
    <row r="49" spans="1:12" ht="14.25">
      <c r="A49" s="175"/>
      <c r="B49" s="204"/>
      <c r="C49" s="175"/>
      <c r="E49" s="159"/>
      <c r="F49" s="159"/>
      <c r="G49" s="159"/>
      <c r="H49" s="159"/>
      <c r="I49" s="159"/>
      <c r="J49" s="159"/>
      <c r="K49" s="159"/>
      <c r="L49" s="159"/>
    </row>
    <row r="50" spans="1:12" ht="14.25">
      <c r="A50" s="175"/>
      <c r="B50" s="198"/>
      <c r="C50" s="203"/>
      <c r="E50" s="159"/>
      <c r="F50" s="159"/>
      <c r="G50" s="159"/>
      <c r="H50" s="159"/>
      <c r="I50" s="159"/>
      <c r="J50" s="159"/>
      <c r="K50" s="159"/>
      <c r="L50" s="159"/>
    </row>
    <row r="51" spans="1:12" ht="14.25">
      <c r="A51" s="175"/>
      <c r="B51" s="204"/>
      <c r="C51" s="175"/>
      <c r="E51" s="159"/>
      <c r="F51" s="159"/>
      <c r="G51" s="159"/>
      <c r="H51" s="159"/>
      <c r="I51" s="159"/>
      <c r="J51" s="159"/>
      <c r="K51" s="159"/>
      <c r="L51" s="159"/>
    </row>
    <row r="52" spans="1:12" ht="14.25">
      <c r="A52" s="175"/>
      <c r="B52" s="198"/>
      <c r="C52" s="203"/>
      <c r="E52" s="159"/>
      <c r="F52" s="159"/>
      <c r="G52" s="159"/>
      <c r="H52" s="159"/>
      <c r="I52" s="159"/>
      <c r="J52" s="159"/>
      <c r="K52" s="159"/>
      <c r="L52" s="159"/>
    </row>
    <row r="53" spans="1:12" ht="16.5">
      <c r="A53" s="201"/>
      <c r="B53" s="159"/>
      <c r="C53" s="159"/>
      <c r="E53" s="159"/>
      <c r="F53" s="159"/>
      <c r="G53" s="159"/>
      <c r="H53" s="159"/>
      <c r="I53" s="159"/>
      <c r="J53" s="159"/>
      <c r="K53" s="159"/>
      <c r="L53" s="159"/>
    </row>
    <row r="54" spans="1:12">
      <c r="A54" s="159"/>
      <c r="B54" s="159"/>
      <c r="C54" s="159"/>
      <c r="E54" s="159"/>
      <c r="F54" s="159"/>
      <c r="G54" s="159"/>
      <c r="H54" s="159"/>
      <c r="I54" s="159"/>
      <c r="J54" s="159"/>
      <c r="K54" s="159"/>
      <c r="L54" s="159"/>
    </row>
    <row r="55" spans="1:12">
      <c r="A55" s="159"/>
      <c r="B55" s="159"/>
      <c r="C55" s="159"/>
      <c r="E55" s="159"/>
      <c r="F55" s="159"/>
      <c r="G55" s="159"/>
      <c r="H55" s="159"/>
      <c r="I55" s="159"/>
      <c r="J55" s="159"/>
      <c r="K55" s="159"/>
      <c r="L55" s="159"/>
    </row>
    <row r="56" spans="1:12">
      <c r="A56" s="205"/>
      <c r="B56" s="159"/>
      <c r="C56" s="159"/>
      <c r="E56" s="159"/>
      <c r="F56" s="159"/>
      <c r="G56" s="159"/>
      <c r="H56" s="159"/>
      <c r="I56" s="159"/>
      <c r="J56" s="159"/>
      <c r="K56" s="159"/>
      <c r="L56" s="159"/>
    </row>
    <row r="57" spans="1:12">
      <c r="A57" s="159"/>
      <c r="B57" s="159"/>
      <c r="C57" s="159"/>
      <c r="E57" s="159"/>
    </row>
    <row r="58" spans="1:12">
      <c r="A58" s="159"/>
      <c r="B58" s="159"/>
      <c r="C58" s="159"/>
      <c r="E58" s="159"/>
    </row>
    <row r="59" spans="1:12">
      <c r="A59" s="159"/>
      <c r="B59" s="159"/>
      <c r="C59" s="159"/>
      <c r="E59" s="159"/>
    </row>
    <row r="60" spans="1:12">
      <c r="A60" s="159"/>
      <c r="B60" s="159"/>
      <c r="C60" s="159"/>
      <c r="E60" s="159"/>
    </row>
    <row r="61" spans="1:12">
      <c r="A61" s="159"/>
      <c r="B61" s="159"/>
      <c r="C61" s="159"/>
      <c r="E61" s="159"/>
    </row>
    <row r="62" spans="1:12">
      <c r="A62" s="159"/>
      <c r="B62" s="159"/>
      <c r="C62" s="159"/>
      <c r="E62" s="159"/>
    </row>
    <row r="63" spans="1:12">
      <c r="A63" s="159"/>
      <c r="B63" s="159"/>
      <c r="C63" s="159"/>
      <c r="E63" s="159"/>
    </row>
    <row r="64" spans="1:12">
      <c r="A64" s="159"/>
      <c r="B64" s="159"/>
      <c r="C64" s="159"/>
      <c r="E64" s="159"/>
    </row>
    <row r="65" spans="1:5">
      <c r="A65" s="159"/>
      <c r="B65" s="159"/>
      <c r="C65" s="159"/>
      <c r="E65" s="159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topLeftCell="A10" workbookViewId="0">
      <selection activeCell="C27" sqref="C27"/>
    </sheetView>
  </sheetViews>
  <sheetFormatPr defaultRowHeight="12.75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>
      <c r="A1" s="108" t="s">
        <v>266</v>
      </c>
    </row>
    <row r="3" spans="1:3">
      <c r="A3" s="1" t="s">
        <v>226</v>
      </c>
    </row>
    <row r="4" spans="1:3">
      <c r="A4" s="283" t="s">
        <v>222</v>
      </c>
    </row>
    <row r="5" spans="1:3" ht="25.5" customHeight="1">
      <c r="A5" s="335" t="s">
        <v>281</v>
      </c>
      <c r="B5" s="334"/>
      <c r="C5" s="334"/>
    </row>
    <row r="6" spans="1:3">
      <c r="A6" s="1" t="s">
        <v>223</v>
      </c>
    </row>
    <row r="7" spans="1:3" ht="26.25" customHeight="1">
      <c r="A7" s="334" t="s">
        <v>224</v>
      </c>
      <c r="B7" s="334"/>
      <c r="C7" s="334"/>
    </row>
    <row r="8" spans="1:3">
      <c r="A8" s="1" t="s">
        <v>225</v>
      </c>
    </row>
    <row r="9" spans="1:3">
      <c r="A9" s="1" t="s">
        <v>267</v>
      </c>
    </row>
    <row r="10" spans="1:3" ht="13.5" thickBot="1"/>
    <row r="11" spans="1:3" ht="18">
      <c r="B11" s="332" t="s">
        <v>252</v>
      </c>
      <c r="C11" s="333"/>
    </row>
    <row r="12" spans="1:3" ht="15">
      <c r="A12" s="159"/>
      <c r="B12" s="158" t="s">
        <v>221</v>
      </c>
      <c r="C12" s="206"/>
    </row>
    <row r="13" spans="1:3" ht="15">
      <c r="A13" s="159"/>
      <c r="B13" s="160" t="s">
        <v>136</v>
      </c>
      <c r="C13" s="161">
        <v>1865</v>
      </c>
    </row>
    <row r="14" spans="1:3" ht="15">
      <c r="A14" s="159"/>
      <c r="B14" s="162" t="s">
        <v>137</v>
      </c>
      <c r="C14" s="161">
        <v>2655</v>
      </c>
    </row>
    <row r="15" spans="1:3" ht="14.25">
      <c r="A15" s="159"/>
      <c r="B15" s="207" t="s">
        <v>138</v>
      </c>
      <c r="C15" s="208">
        <v>108</v>
      </c>
    </row>
    <row r="16" spans="1:3" ht="14.25">
      <c r="A16" s="159"/>
      <c r="B16" s="207" t="s">
        <v>139</v>
      </c>
      <c r="C16" s="208">
        <v>1894</v>
      </c>
    </row>
    <row r="17" spans="1:7" ht="14.25">
      <c r="A17" s="159"/>
      <c r="B17" s="207" t="s">
        <v>140</v>
      </c>
      <c r="C17" s="208">
        <v>307</v>
      </c>
    </row>
    <row r="18" spans="1:7" ht="14.25">
      <c r="A18" s="159"/>
      <c r="B18" s="207" t="s">
        <v>141</v>
      </c>
      <c r="C18" s="208">
        <v>23</v>
      </c>
    </row>
    <row r="19" spans="1:7" ht="14.25">
      <c r="A19" s="159"/>
      <c r="B19" s="207" t="s">
        <v>142</v>
      </c>
      <c r="C19" s="208">
        <v>284</v>
      </c>
    </row>
    <row r="20" spans="1:7" ht="14.25">
      <c r="A20" s="159"/>
      <c r="B20" s="207" t="s">
        <v>143</v>
      </c>
      <c r="C20" s="208">
        <v>0</v>
      </c>
    </row>
    <row r="21" spans="1:7" ht="14.25">
      <c r="A21" s="159"/>
      <c r="B21" s="207" t="s">
        <v>144</v>
      </c>
      <c r="C21" s="208">
        <v>28</v>
      </c>
    </row>
    <row r="22" spans="1:7" ht="14.25">
      <c r="A22" s="159"/>
      <c r="B22" s="209" t="s">
        <v>145</v>
      </c>
      <c r="C22" s="210">
        <v>0</v>
      </c>
    </row>
    <row r="23" spans="1:7" ht="15">
      <c r="A23" s="159" t="s">
        <v>146</v>
      </c>
      <c r="B23" s="158" t="s">
        <v>147</v>
      </c>
      <c r="C23" s="206"/>
    </row>
    <row r="24" spans="1:7" ht="14.25">
      <c r="A24" s="159"/>
      <c r="B24" s="211" t="s">
        <v>317</v>
      </c>
      <c r="C24" s="212">
        <v>5565</v>
      </c>
    </row>
    <row r="25" spans="1:7" ht="14.25">
      <c r="A25" s="159"/>
      <c r="B25" s="207" t="s">
        <v>318</v>
      </c>
      <c r="C25" s="208">
        <v>4775</v>
      </c>
    </row>
    <row r="26" spans="1:7" ht="14.25">
      <c r="B26" s="207" t="s">
        <v>287</v>
      </c>
      <c r="C26" s="208">
        <f>C25-C24</f>
        <v>-790</v>
      </c>
    </row>
    <row r="27" spans="1:7" ht="14.25">
      <c r="B27" s="213"/>
      <c r="C27" s="214"/>
    </row>
    <row r="28" spans="1:7" ht="15">
      <c r="B28" s="163" t="s">
        <v>148</v>
      </c>
      <c r="C28" s="284">
        <f>MEDIAN(C13,C14)/MEDIAN(C24,C25)</f>
        <v>0.43713733075435202</v>
      </c>
      <c r="G28" s="1">
        <f>12/C28</f>
        <v>27.451327433628318</v>
      </c>
    </row>
    <row r="29" spans="1:7" ht="15">
      <c r="B29" s="160" t="s">
        <v>149</v>
      </c>
      <c r="C29" s="284">
        <f>C16/MEDIAN(C24,C25)</f>
        <v>0.36634429400386848</v>
      </c>
    </row>
    <row r="30" spans="1:7" ht="15">
      <c r="B30" s="165" t="s">
        <v>150</v>
      </c>
      <c r="C30" s="164">
        <v>360</v>
      </c>
    </row>
    <row r="31" spans="1:7" ht="15">
      <c r="B31" s="160" t="s">
        <v>268</v>
      </c>
      <c r="C31" s="164">
        <v>10</v>
      </c>
    </row>
    <row r="32" spans="1:7" ht="15">
      <c r="B32" s="160" t="s">
        <v>269</v>
      </c>
      <c r="C32" s="164">
        <v>30</v>
      </c>
      <c r="G32" s="1">
        <f>TRUNC(G37)</f>
        <v>3</v>
      </c>
    </row>
    <row r="33" spans="2:11" ht="15">
      <c r="B33" s="160" t="s">
        <v>270</v>
      </c>
      <c r="C33" s="164">
        <v>30</v>
      </c>
    </row>
    <row r="34" spans="2:11" s="108" customFormat="1" ht="15">
      <c r="B34" s="160" t="s">
        <v>151</v>
      </c>
      <c r="C34" s="215">
        <f>MEDIAN(C24,C25)</f>
        <v>5170</v>
      </c>
    </row>
    <row r="35" spans="2:11" s="108" customFormat="1" ht="15">
      <c r="B35" s="160" t="s">
        <v>44</v>
      </c>
      <c r="C35" s="216">
        <v>0.08</v>
      </c>
      <c r="K35" s="108">
        <f>IF(C39&gt;12,C39-12,C39)</f>
        <v>15.451327433628318</v>
      </c>
    </row>
    <row r="36" spans="2:11" s="108" customFormat="1" ht="15">
      <c r="B36" s="160" t="s">
        <v>152</v>
      </c>
      <c r="C36" s="216">
        <v>0.5</v>
      </c>
      <c r="K36" s="108" t="e">
        <f>IF(#REF!&gt;12,#REF!-12,#REF!)</f>
        <v>#REF!</v>
      </c>
    </row>
    <row r="37" spans="2:11" s="108" customFormat="1" ht="15">
      <c r="B37" s="160" t="s">
        <v>153</v>
      </c>
      <c r="C37" s="285">
        <f>((1/C28)-TRUNC(E37))</f>
        <v>0.28761061946902666</v>
      </c>
      <c r="D37" s="108">
        <f>TRUNC(E37)</f>
        <v>2</v>
      </c>
      <c r="E37" s="108">
        <f>1/C28</f>
        <v>2.2876106194690267</v>
      </c>
      <c r="F37" s="108">
        <f>((1/C28)-TRUNC(E37))</f>
        <v>0.28761061946902666</v>
      </c>
      <c r="G37" s="108">
        <f>12*F37</f>
        <v>3.45132743362832</v>
      </c>
      <c r="K37" s="108" t="e">
        <f>IF(#REF!&gt;12,#REF!-12,#REF!)</f>
        <v>#REF!</v>
      </c>
    </row>
    <row r="38" spans="2:11" s="108" customFormat="1" ht="15">
      <c r="B38" s="158" t="s">
        <v>154</v>
      </c>
      <c r="C38" s="166">
        <f>30+D38</f>
        <v>36</v>
      </c>
      <c r="D38" s="108">
        <f>3*D37</f>
        <v>6</v>
      </c>
      <c r="G38" s="108">
        <f>G37/12*40/360</f>
        <v>3.1956735496558517E-2</v>
      </c>
      <c r="K38" s="108" t="e">
        <f>IF(#REF!&gt;12,#REF!-12,#REF!)</f>
        <v>#REF!</v>
      </c>
    </row>
    <row r="39" spans="2:11" s="108" customFormat="1" ht="15.75" thickBot="1">
      <c r="B39" s="167" t="s">
        <v>273</v>
      </c>
      <c r="C39" s="286">
        <f>12/C28</f>
        <v>27.451327433628318</v>
      </c>
      <c r="K39" s="108" t="e">
        <f>IF(#REF!&gt;12,#REF!-12,#REF!)</f>
        <v>#REF!</v>
      </c>
    </row>
    <row r="40" spans="2:11">
      <c r="K40" s="1" t="e">
        <f t="shared" ref="K40:K41" si="0">IF(K39&gt;12,K39-12,K39)</f>
        <v>#REF!</v>
      </c>
    </row>
    <row r="41" spans="2:11">
      <c r="K41" s="1" t="e">
        <f t="shared" si="0"/>
        <v>#REF!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E15" sqref="E15"/>
    </sheetView>
  </sheetViews>
  <sheetFormatPr defaultRowHeight="12.75"/>
  <cols>
    <col min="1" max="1" width="41.85546875" bestFit="1" customWidth="1"/>
    <col min="2" max="2" width="5.5703125" bestFit="1" customWidth="1"/>
    <col min="4" max="4" width="9.7109375" bestFit="1" customWidth="1"/>
    <col min="5" max="5" width="8" style="123" bestFit="1" customWidth="1"/>
    <col min="6" max="6" width="9.7109375" bestFit="1" customWidth="1"/>
  </cols>
  <sheetData>
    <row r="1" spans="1:8" s="148" customFormat="1" ht="14.25">
      <c r="A1" s="11" t="s">
        <v>218</v>
      </c>
      <c r="B1" s="146"/>
      <c r="C1" s="146"/>
      <c r="E1" s="149"/>
    </row>
    <row r="2" spans="1:8" s="148" customFormat="1" ht="14.25">
      <c r="A2" s="141" t="s">
        <v>274</v>
      </c>
      <c r="B2" s="146"/>
      <c r="C2" s="146"/>
      <c r="E2" s="149"/>
    </row>
    <row r="3" spans="1:8" s="148" customFormat="1" ht="14.25">
      <c r="A3" s="9" t="s">
        <v>219</v>
      </c>
      <c r="B3" s="146"/>
      <c r="C3" s="146"/>
      <c r="E3" s="149"/>
    </row>
    <row r="4" spans="1:8" s="148" customFormat="1" ht="14.25">
      <c r="A4" s="141"/>
      <c r="B4" s="146"/>
      <c r="C4" s="146"/>
      <c r="E4" s="149"/>
    </row>
    <row r="5" spans="1:8" s="148" customFormat="1" ht="15" thickBot="1">
      <c r="B5" s="146"/>
      <c r="C5" s="146"/>
      <c r="E5" s="149"/>
    </row>
    <row r="6" spans="1:8" ht="15.75">
      <c r="A6" s="341" t="s">
        <v>253</v>
      </c>
      <c r="B6" s="342"/>
      <c r="C6" s="342"/>
      <c r="D6" s="342"/>
      <c r="E6" s="342"/>
      <c r="F6" s="343"/>
    </row>
    <row r="7" spans="1:8" ht="16.5" thickBot="1">
      <c r="A7" s="268"/>
      <c r="B7" s="269"/>
      <c r="C7" s="269"/>
      <c r="D7" s="269"/>
      <c r="E7" s="269"/>
      <c r="F7" s="270"/>
    </row>
    <row r="8" spans="1:8" ht="15">
      <c r="A8" s="217"/>
      <c r="B8" s="147"/>
      <c r="C8" s="147"/>
      <c r="D8" s="338" t="s">
        <v>271</v>
      </c>
      <c r="E8" s="339"/>
      <c r="F8" s="340"/>
      <c r="G8" s="148"/>
      <c r="H8" s="148"/>
    </row>
    <row r="9" spans="1:8" ht="15" thickBot="1">
      <c r="A9" s="213"/>
      <c r="B9" s="218"/>
      <c r="C9" s="218"/>
      <c r="D9" s="219" t="s">
        <v>205</v>
      </c>
      <c r="E9" s="220" t="s">
        <v>206</v>
      </c>
      <c r="F9" s="221" t="s">
        <v>207</v>
      </c>
      <c r="G9" s="148"/>
      <c r="H9" s="148"/>
    </row>
    <row r="10" spans="1:8" ht="14.25">
      <c r="A10" s="222" t="s">
        <v>80</v>
      </c>
      <c r="B10" s="223" t="s">
        <v>81</v>
      </c>
      <c r="C10" s="224">
        <v>0.03</v>
      </c>
      <c r="D10" s="245">
        <v>2.9700000000000001E-2</v>
      </c>
      <c r="E10" s="246">
        <v>5.0799999999999998E-2</v>
      </c>
      <c r="F10" s="247">
        <v>6.2700000000000006E-2</v>
      </c>
      <c r="G10" s="148"/>
      <c r="H10" s="148"/>
    </row>
    <row r="11" spans="1:8" ht="14.25">
      <c r="A11" s="226" t="s">
        <v>82</v>
      </c>
      <c r="B11" s="227" t="s">
        <v>83</v>
      </c>
      <c r="C11" s="228">
        <v>0.01</v>
      </c>
      <c r="D11" s="245">
        <f>0.3%+0.56%</f>
        <v>8.6E-3</v>
      </c>
      <c r="E11" s="246">
        <f>0.48%+0.85%</f>
        <v>1.3299999999999999E-2</v>
      </c>
      <c r="F11" s="247">
        <f>0.82%+0.89%</f>
        <v>1.7099999999999997E-2</v>
      </c>
      <c r="G11" s="148"/>
      <c r="H11" s="148"/>
    </row>
    <row r="12" spans="1:8" ht="14.25">
      <c r="A12" s="226" t="s">
        <v>84</v>
      </c>
      <c r="B12" s="227" t="s">
        <v>85</v>
      </c>
      <c r="C12" s="228">
        <v>0.1</v>
      </c>
      <c r="D12" s="245">
        <v>7.7799999999999994E-2</v>
      </c>
      <c r="E12" s="246">
        <v>0.1085</v>
      </c>
      <c r="F12" s="247">
        <v>0.13550000000000001</v>
      </c>
      <c r="G12" s="148"/>
      <c r="H12" s="148"/>
    </row>
    <row r="13" spans="1:8" ht="14.25">
      <c r="A13" s="226" t="s">
        <v>86</v>
      </c>
      <c r="B13" s="227" t="s">
        <v>87</v>
      </c>
      <c r="C13" s="229">
        <f>(1+E13)^(E14/252)-1</f>
        <v>1.2353525625994344E-3</v>
      </c>
      <c r="D13" s="245" t="s">
        <v>311</v>
      </c>
      <c r="E13" s="230">
        <v>6.4199999999999993E-2</v>
      </c>
      <c r="F13" s="225"/>
      <c r="G13" s="148"/>
      <c r="H13" s="148"/>
    </row>
    <row r="14" spans="1:8" ht="14.25">
      <c r="A14" s="226" t="s">
        <v>88</v>
      </c>
      <c r="B14" s="336" t="s">
        <v>89</v>
      </c>
      <c r="C14" s="228">
        <v>0.02</v>
      </c>
      <c r="D14" s="310" t="s">
        <v>208</v>
      </c>
      <c r="E14" s="231">
        <v>5</v>
      </c>
      <c r="F14" s="232"/>
      <c r="G14" s="148"/>
      <c r="H14" s="148"/>
    </row>
    <row r="15" spans="1:8" ht="15" thickBot="1">
      <c r="A15" s="233" t="s">
        <v>90</v>
      </c>
      <c r="B15" s="337"/>
      <c r="C15" s="234">
        <v>3.6499999999999998E-2</v>
      </c>
      <c r="D15" s="207"/>
      <c r="E15" s="235"/>
      <c r="F15" s="232"/>
      <c r="G15" s="148"/>
      <c r="H15" s="148"/>
    </row>
    <row r="16" spans="1:8" ht="14.25">
      <c r="A16" s="236" t="s">
        <v>91</v>
      </c>
      <c r="B16" s="237"/>
      <c r="C16" s="238"/>
      <c r="D16" s="207"/>
      <c r="E16" s="235"/>
      <c r="F16" s="232"/>
      <c r="G16" s="148"/>
      <c r="H16" s="148"/>
    </row>
    <row r="17" spans="1:8" ht="15" thickBot="1">
      <c r="A17" s="239" t="s">
        <v>92</v>
      </c>
      <c r="B17" s="240"/>
      <c r="C17" s="241"/>
      <c r="D17" s="207"/>
      <c r="E17" s="235"/>
      <c r="F17" s="232"/>
      <c r="G17" s="148"/>
      <c r="H17" s="148"/>
    </row>
    <row r="18" spans="1:8" ht="15.75" thickBot="1">
      <c r="A18" s="242" t="s">
        <v>93</v>
      </c>
      <c r="B18" s="243"/>
      <c r="C18" s="244">
        <f>ROUND((((1+C10+C11)*(1+C12)*(1+C13))/(1-(C14+C15))-1),4)</f>
        <v>0.214</v>
      </c>
      <c r="D18" s="248">
        <v>0.21429999999999999</v>
      </c>
      <c r="E18" s="249">
        <v>0.2717</v>
      </c>
      <c r="F18" s="250">
        <v>0.3362</v>
      </c>
      <c r="G18" s="148"/>
      <c r="H18" s="148"/>
    </row>
    <row r="19" spans="1:8" ht="14.25">
      <c r="A19" s="148"/>
      <c r="B19" s="148"/>
      <c r="C19" s="148"/>
      <c r="D19" s="148"/>
      <c r="E19" s="149"/>
      <c r="F19" s="148"/>
      <c r="G19" s="148"/>
      <c r="H19" s="148"/>
    </row>
    <row r="20" spans="1:8" ht="14.25">
      <c r="A20" s="148"/>
      <c r="B20" s="148"/>
      <c r="C20" s="148"/>
      <c r="D20" s="148"/>
      <c r="E20" s="149"/>
      <c r="F20" s="148"/>
      <c r="G20" s="148"/>
      <c r="H20" s="148"/>
    </row>
    <row r="21" spans="1:8" ht="14.25">
      <c r="A21" s="148"/>
      <c r="B21" s="148"/>
      <c r="C21" s="148"/>
      <c r="D21" s="148"/>
      <c r="E21" s="149"/>
      <c r="F21" s="148"/>
      <c r="G21" s="148"/>
      <c r="H21" s="148"/>
    </row>
    <row r="22" spans="1:8" ht="14.25">
      <c r="A22" s="148"/>
      <c r="B22" s="148"/>
      <c r="C22" s="148"/>
      <c r="D22" s="148"/>
      <c r="E22" s="149"/>
      <c r="F22" s="148"/>
      <c r="G22" s="148"/>
      <c r="H22" s="148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3" sqref="B3"/>
    </sheetView>
  </sheetViews>
  <sheetFormatPr defaultRowHeight="19.5" customHeight="1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>
      <c r="A1" s="344" t="s">
        <v>255</v>
      </c>
      <c r="B1" s="345"/>
    </row>
    <row r="2" spans="1:2" s="108" customFormat="1" ht="19.5" customHeight="1">
      <c r="A2" s="271" t="s">
        <v>227</v>
      </c>
      <c r="B2" s="272" t="s">
        <v>313</v>
      </c>
    </row>
    <row r="3" spans="1:2" ht="19.5" customHeight="1">
      <c r="A3" s="169">
        <v>1</v>
      </c>
      <c r="B3" s="168">
        <v>33.629999999999995</v>
      </c>
    </row>
    <row r="4" spans="1:2" ht="19.5" customHeight="1">
      <c r="A4" s="169">
        <v>2</v>
      </c>
      <c r="B4" s="168">
        <v>43.13</v>
      </c>
    </row>
    <row r="5" spans="1:2" ht="19.5" customHeight="1">
      <c r="A5" s="169">
        <v>3</v>
      </c>
      <c r="B5" s="168">
        <v>48.68</v>
      </c>
    </row>
    <row r="6" spans="1:2" ht="19.5" customHeight="1">
      <c r="A6" s="169">
        <v>4</v>
      </c>
      <c r="B6" s="168">
        <v>52.62</v>
      </c>
    </row>
    <row r="7" spans="1:2" ht="19.5" customHeight="1">
      <c r="A7" s="169">
        <v>5</v>
      </c>
      <c r="B7" s="168">
        <v>55.679999999999993</v>
      </c>
    </row>
    <row r="8" spans="1:2" ht="19.5" customHeight="1">
      <c r="A8" s="169">
        <v>6</v>
      </c>
      <c r="B8" s="168">
        <v>58.18</v>
      </c>
    </row>
    <row r="9" spans="1:2" ht="19.5" customHeight="1">
      <c r="A9" s="169">
        <v>7</v>
      </c>
      <c r="B9" s="168">
        <v>60.29</v>
      </c>
    </row>
    <row r="10" spans="1:2" ht="19.5" customHeight="1">
      <c r="A10" s="169">
        <v>8</v>
      </c>
      <c r="B10" s="168">
        <v>62.12</v>
      </c>
    </row>
    <row r="11" spans="1:2" ht="19.5" customHeight="1">
      <c r="A11" s="169">
        <v>9</v>
      </c>
      <c r="B11" s="168">
        <v>63.73</v>
      </c>
    </row>
    <row r="12" spans="1:2" ht="19.5" customHeight="1">
      <c r="A12" s="169">
        <v>10</v>
      </c>
      <c r="B12" s="168">
        <v>65.180000000000007</v>
      </c>
    </row>
    <row r="13" spans="1:2" ht="19.5" customHeight="1">
      <c r="A13" s="169">
        <v>11</v>
      </c>
      <c r="B13" s="168">
        <v>66.47999999999999</v>
      </c>
    </row>
    <row r="14" spans="1:2" ht="19.5" customHeight="1">
      <c r="A14" s="169">
        <v>12</v>
      </c>
      <c r="B14" s="168">
        <v>67.67</v>
      </c>
    </row>
    <row r="15" spans="1:2" ht="19.5" customHeight="1">
      <c r="A15" s="169">
        <v>13</v>
      </c>
      <c r="B15" s="168">
        <v>68.77</v>
      </c>
    </row>
    <row r="16" spans="1:2" ht="19.5" customHeight="1">
      <c r="A16" s="169">
        <v>14</v>
      </c>
      <c r="B16" s="168">
        <v>69.789999999999992</v>
      </c>
    </row>
    <row r="17" spans="1:2" ht="19.5" customHeight="1" thickBot="1">
      <c r="A17" s="170">
        <v>15</v>
      </c>
      <c r="B17" s="171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A24" sqref="A24"/>
    </sheetView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254" t="s">
        <v>259</v>
      </c>
    </row>
    <row r="2" spans="1:1">
      <c r="A2" s="251"/>
    </row>
    <row r="3" spans="1:1">
      <c r="A3" s="251" t="s">
        <v>275</v>
      </c>
    </row>
    <row r="4" spans="1:1">
      <c r="A4" s="251"/>
    </row>
    <row r="5" spans="1:1">
      <c r="A5" s="251"/>
    </row>
    <row r="6" spans="1:1">
      <c r="A6" s="251"/>
    </row>
    <row r="7" spans="1:1">
      <c r="A7" s="251"/>
    </row>
    <row r="8" spans="1:1">
      <c r="A8" s="251"/>
    </row>
    <row r="9" spans="1:1">
      <c r="A9" s="251"/>
    </row>
    <row r="10" spans="1:1">
      <c r="A10" s="251"/>
    </row>
    <row r="11" spans="1:1">
      <c r="A11" s="251"/>
    </row>
    <row r="12" spans="1:1" ht="19.5">
      <c r="A12" s="252" t="s">
        <v>256</v>
      </c>
    </row>
    <row r="13" spans="1:1" ht="15">
      <c r="A13" s="252" t="s">
        <v>119</v>
      </c>
    </row>
    <row r="14" spans="1:1" ht="15">
      <c r="A14" s="252" t="s">
        <v>124</v>
      </c>
    </row>
    <row r="15" spans="1:1" ht="19.5">
      <c r="A15" s="252" t="s">
        <v>257</v>
      </c>
    </row>
    <row r="16" spans="1:1" ht="19.5">
      <c r="A16" s="252" t="s">
        <v>258</v>
      </c>
    </row>
    <row r="17" spans="1:1" ht="15.75" thickBot="1">
      <c r="A17" s="253" t="s">
        <v>120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1"/>
  <sheetViews>
    <sheetView topLeftCell="A7" zoomScale="170" zoomScaleNormal="170" workbookViewId="0">
      <selection activeCell="C17" sqref="C17"/>
    </sheetView>
  </sheetViews>
  <sheetFormatPr defaultRowHeight="12.75"/>
  <cols>
    <col min="1" max="1" width="58.28515625" style="283" customWidth="1"/>
    <col min="2" max="2" width="11.140625" style="283" bestFit="1" customWidth="1"/>
    <col min="3" max="3" width="11.28515625" style="283" bestFit="1" customWidth="1"/>
    <col min="4" max="16384" width="9.140625" style="283"/>
  </cols>
  <sheetData>
    <row r="1" spans="1:3">
      <c r="A1" s="11" t="s">
        <v>218</v>
      </c>
    </row>
    <row r="2" spans="1:3">
      <c r="A2" s="291" t="s">
        <v>288</v>
      </c>
    </row>
    <row r="3" spans="1:3">
      <c r="A3" s="291" t="s">
        <v>314</v>
      </c>
    </row>
    <row r="4" spans="1:3">
      <c r="A4" s="7" t="s">
        <v>312</v>
      </c>
    </row>
    <row r="5" spans="1:3" ht="13.5" thickBot="1"/>
    <row r="6" spans="1:3" ht="18">
      <c r="A6" s="346" t="s">
        <v>308</v>
      </c>
      <c r="B6" s="347"/>
      <c r="C6" s="348"/>
    </row>
    <row r="7" spans="1:3" s="292" customFormat="1" ht="18">
      <c r="A7" s="307"/>
      <c r="B7" s="306"/>
      <c r="C7" s="308"/>
    </row>
    <row r="8" spans="1:3" s="108" customFormat="1" ht="15">
      <c r="A8" s="293" t="s">
        <v>309</v>
      </c>
      <c r="B8" s="294" t="s">
        <v>289</v>
      </c>
      <c r="C8" s="295" t="s">
        <v>157</v>
      </c>
    </row>
    <row r="9" spans="1:3" ht="14.25">
      <c r="A9" s="296" t="s">
        <v>297</v>
      </c>
      <c r="B9" s="297" t="s">
        <v>290</v>
      </c>
      <c r="C9" s="208">
        <v>26092</v>
      </c>
    </row>
    <row r="10" spans="1:3" ht="14.25">
      <c r="A10" s="207" t="s">
        <v>298</v>
      </c>
      <c r="B10" s="298" t="s">
        <v>295</v>
      </c>
      <c r="C10" s="299">
        <f>0.0362741*C9^0.2336249</f>
        <v>0.39030376311587001</v>
      </c>
    </row>
    <row r="11" spans="1:3" ht="14.25">
      <c r="A11" s="207" t="s">
        <v>299</v>
      </c>
      <c r="B11" s="298" t="s">
        <v>296</v>
      </c>
      <c r="C11" s="300">
        <f>C9*C10/1000</f>
        <v>10.18380578721928</v>
      </c>
    </row>
    <row r="12" spans="1:3" ht="14.25">
      <c r="A12" s="207" t="s">
        <v>305</v>
      </c>
      <c r="B12" s="298" t="s">
        <v>291</v>
      </c>
      <c r="C12" s="301">
        <f>(C11*30)</f>
        <v>305.51417361657838</v>
      </c>
    </row>
    <row r="13" spans="1:3" ht="14.25">
      <c r="A13" s="207" t="s">
        <v>301</v>
      </c>
      <c r="B13" s="298" t="s">
        <v>98</v>
      </c>
      <c r="C13" s="304">
        <v>2</v>
      </c>
    </row>
    <row r="14" spans="1:3" ht="14.25">
      <c r="A14" s="207" t="s">
        <v>300</v>
      </c>
      <c r="B14" s="298" t="s">
        <v>296</v>
      </c>
      <c r="C14" s="300">
        <f>IFERROR(C11*7/C13,0)</f>
        <v>35.643320255267476</v>
      </c>
    </row>
    <row r="15" spans="1:3" ht="14.25">
      <c r="A15" s="296" t="s">
        <v>292</v>
      </c>
      <c r="B15" s="298" t="s">
        <v>293</v>
      </c>
      <c r="C15" s="232">
        <v>500</v>
      </c>
    </row>
    <row r="16" spans="1:3" ht="14.25">
      <c r="A16" s="207" t="s">
        <v>306</v>
      </c>
      <c r="B16" s="298"/>
      <c r="C16" s="208">
        <v>1</v>
      </c>
    </row>
    <row r="17" spans="1:3" ht="14.25">
      <c r="A17" s="296" t="s">
        <v>307</v>
      </c>
      <c r="B17" s="298" t="s">
        <v>294</v>
      </c>
      <c r="C17" s="208"/>
    </row>
    <row r="18" spans="1:3" ht="14.25">
      <c r="A18" s="207" t="s">
        <v>302</v>
      </c>
      <c r="B18" s="298" t="s">
        <v>291</v>
      </c>
      <c r="C18" s="232">
        <f>IF(AND(C17&gt;=15,C16=1),5.8,C17/2)</f>
        <v>0</v>
      </c>
    </row>
    <row r="19" spans="1:3" ht="14.25">
      <c r="A19" s="296" t="s">
        <v>303</v>
      </c>
      <c r="B19" s="298"/>
      <c r="C19" s="300">
        <f>IFERROR(C14/C18,0)</f>
        <v>0</v>
      </c>
    </row>
    <row r="20" spans="1:3" ht="14.25">
      <c r="A20" s="296" t="s">
        <v>310</v>
      </c>
      <c r="B20" s="298"/>
      <c r="C20" s="309">
        <v>1</v>
      </c>
    </row>
    <row r="21" spans="1:3" ht="15" thickBot="1">
      <c r="A21" s="302" t="s">
        <v>304</v>
      </c>
      <c r="B21" s="303"/>
      <c r="C21" s="305">
        <f>IFERROR(C19/C20,0)</f>
        <v>0</v>
      </c>
    </row>
  </sheetData>
  <mergeCells count="1"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2018-11-08T15:14:05Z</cp:lastPrinted>
  <dcterms:created xsi:type="dcterms:W3CDTF">2000-12-13T10:02:50Z</dcterms:created>
  <dcterms:modified xsi:type="dcterms:W3CDTF">2018-11-14T10:16:28Z</dcterms:modified>
</cp:coreProperties>
</file>